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um\Downloads\"/>
    </mc:Choice>
  </mc:AlternateContent>
  <xr:revisionPtr revIDLastSave="0" documentId="13_ncr:1_{2DF8E4C3-8703-4849-BC18-D301C1CEAFE3}" xr6:coauthVersionLast="47" xr6:coauthVersionMax="47" xr10:uidLastSave="{00000000-0000-0000-0000-000000000000}"/>
  <bookViews>
    <workbookView xWindow="-108" yWindow="-108" windowWidth="19416" windowHeight="10296" firstSheet="8" activeTab="9" xr2:uid="{00000000-000D-0000-FFFF-FFFF00000000}"/>
  </bookViews>
  <sheets>
    <sheet name="150ล้าน3.7บาท4ชม." sheetId="2" r:id="rId1"/>
    <sheet name="130ล้าน3.7บาท4ชม. " sheetId="10" r:id="rId2"/>
    <sheet name="150ล้าน3.7บาท5ชม." sheetId="8" r:id="rId3"/>
    <sheet name="130ล้าน3.7บาท5ชม." sheetId="9" r:id="rId4"/>
    <sheet name="150ล้าน4200แบ่งเวลา4ชม" sheetId="4" r:id="rId5"/>
    <sheet name="150ล้าน4500แบ่งเวลา4ชม" sheetId="5" r:id="rId6"/>
    <sheet name="150ล้าน4500แบ่งเวลา5ชม" sheetId="6" r:id="rId7"/>
    <sheet name="150ล้าน4พันห้า4.64บาท 5ชม" sheetId="7" r:id="rId8"/>
    <sheet name="130ล้าน4พนห้า4.64บาท 5ชม " sheetId="11" r:id="rId9"/>
    <sheet name="130ล้าน4พนห้า3.3471บาท 5ชม.N" sheetId="12" r:id="rId10"/>
    <sheet name="ผลตอบแทนผู้ลงทุน5.1" sheetId="3" r:id="rId11"/>
    <sheet name="รายการใช้จ่าย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2" l="1"/>
  <c r="D26" i="12" s="1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O26" i="12" s="1"/>
  <c r="P26" i="12" s="1"/>
  <c r="Q26" i="12" s="1"/>
  <c r="R26" i="12" s="1"/>
  <c r="S26" i="12" s="1"/>
  <c r="T26" i="12" s="1"/>
  <c r="U26" i="12" s="1"/>
  <c r="V26" i="12" s="1"/>
  <c r="E18" i="12"/>
  <c r="F18" i="12" s="1"/>
  <c r="G18" i="12" s="1"/>
  <c r="H18" i="12" s="1"/>
  <c r="I18" i="12" s="1"/>
  <c r="J18" i="12" s="1"/>
  <c r="K18" i="12" s="1"/>
  <c r="L18" i="12" s="1"/>
  <c r="M18" i="12" s="1"/>
  <c r="N18" i="12" s="1"/>
  <c r="O18" i="12" s="1"/>
  <c r="P18" i="12" s="1"/>
  <c r="Q18" i="12" s="1"/>
  <c r="R18" i="12" s="1"/>
  <c r="S18" i="12" s="1"/>
  <c r="T18" i="12" s="1"/>
  <c r="U18" i="12" s="1"/>
  <c r="V18" i="12" s="1"/>
  <c r="D18" i="12"/>
  <c r="C17" i="12"/>
  <c r="D17" i="12" s="1"/>
  <c r="E17" i="12" s="1"/>
  <c r="F17" i="12" s="1"/>
  <c r="G17" i="12" s="1"/>
  <c r="H17" i="12" s="1"/>
  <c r="I17" i="12" s="1"/>
  <c r="J17" i="12" s="1"/>
  <c r="K17" i="12" s="1"/>
  <c r="L17" i="12" s="1"/>
  <c r="M17" i="12" s="1"/>
  <c r="N17" i="12" s="1"/>
  <c r="O17" i="12" s="1"/>
  <c r="P17" i="12" s="1"/>
  <c r="Q17" i="12" s="1"/>
  <c r="R17" i="12" s="1"/>
  <c r="S17" i="12" s="1"/>
  <c r="T17" i="12" s="1"/>
  <c r="U17" i="12" s="1"/>
  <c r="V17" i="12" s="1"/>
  <c r="B2" i="12"/>
  <c r="S12" i="12" s="1"/>
  <c r="W16" i="12"/>
  <c r="B15" i="12"/>
  <c r="B21" i="12" s="1"/>
  <c r="W14" i="12"/>
  <c r="W13" i="12"/>
  <c r="W18" i="12" l="1"/>
  <c r="X18" i="12" s="1"/>
  <c r="W17" i="12"/>
  <c r="X17" i="12" s="1"/>
  <c r="I12" i="12"/>
  <c r="I15" i="12" s="1"/>
  <c r="I21" i="12" s="1"/>
  <c r="L12" i="12"/>
  <c r="L15" i="12" s="1"/>
  <c r="L21" i="12" s="1"/>
  <c r="U12" i="12"/>
  <c r="U15" i="12" s="1"/>
  <c r="U21" i="12" s="1"/>
  <c r="V12" i="12"/>
  <c r="V15" i="12" s="1"/>
  <c r="V21" i="12" s="1"/>
  <c r="D12" i="12"/>
  <c r="N12" i="12"/>
  <c r="E12" i="12"/>
  <c r="O12" i="12"/>
  <c r="S15" i="12"/>
  <c r="S21" i="12" s="1"/>
  <c r="M12" i="12"/>
  <c r="F12" i="12"/>
  <c r="P12" i="12"/>
  <c r="G12" i="12"/>
  <c r="Q12" i="12"/>
  <c r="H12" i="12"/>
  <c r="T12" i="12"/>
  <c r="J12" i="12"/>
  <c r="R12" i="12"/>
  <c r="C12" i="12"/>
  <c r="K12" i="12"/>
  <c r="C20" i="11"/>
  <c r="D20" i="11" s="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O17" i="11"/>
  <c r="O18" i="11" s="1"/>
  <c r="B17" i="11"/>
  <c r="B18" i="11" s="1"/>
  <c r="W16" i="11"/>
  <c r="B15" i="11"/>
  <c r="W14" i="11"/>
  <c r="W13" i="11"/>
  <c r="V12" i="11"/>
  <c r="V17" i="11" s="1"/>
  <c r="V18" i="11" s="1"/>
  <c r="Q12" i="11"/>
  <c r="Q15" i="11" s="1"/>
  <c r="P12" i="11"/>
  <c r="P15" i="11" s="1"/>
  <c r="O12" i="11"/>
  <c r="O15" i="11" s="1"/>
  <c r="N12" i="11"/>
  <c r="N17" i="11" s="1"/>
  <c r="N18" i="11" s="1"/>
  <c r="M12" i="11"/>
  <c r="M15" i="11" s="1"/>
  <c r="H12" i="11"/>
  <c r="H15" i="11" s="1"/>
  <c r="G12" i="11"/>
  <c r="G15" i="11" s="1"/>
  <c r="F12" i="11"/>
  <c r="F17" i="11" s="1"/>
  <c r="F18" i="11" s="1"/>
  <c r="E12" i="11"/>
  <c r="E15" i="11" s="1"/>
  <c r="D12" i="11"/>
  <c r="D15" i="11" s="1"/>
  <c r="B2" i="11"/>
  <c r="R12" i="11" s="1"/>
  <c r="C16" i="10"/>
  <c r="D16" i="10" s="1"/>
  <c r="E16" i="10" s="1"/>
  <c r="F16" i="10" s="1"/>
  <c r="G16" i="10" s="1"/>
  <c r="H16" i="10" s="1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E13" i="10"/>
  <c r="E14" i="10" s="1"/>
  <c r="B13" i="10"/>
  <c r="B14" i="10" s="1"/>
  <c r="W12" i="10"/>
  <c r="B11" i="10"/>
  <c r="W10" i="10"/>
  <c r="W9" i="10"/>
  <c r="V8" i="10"/>
  <c r="V13" i="10" s="1"/>
  <c r="V14" i="10" s="1"/>
  <c r="U8" i="10"/>
  <c r="U11" i="10" s="1"/>
  <c r="T8" i="10"/>
  <c r="T11" i="10" s="1"/>
  <c r="S8" i="10"/>
  <c r="S11" i="10" s="1"/>
  <c r="L8" i="10"/>
  <c r="L11" i="10" s="1"/>
  <c r="K8" i="10"/>
  <c r="K13" i="10" s="1"/>
  <c r="H8" i="10"/>
  <c r="H11" i="10" s="1"/>
  <c r="F8" i="10"/>
  <c r="F13" i="10" s="1"/>
  <c r="F14" i="10" s="1"/>
  <c r="E8" i="10"/>
  <c r="E11" i="10" s="1"/>
  <c r="B2" i="10"/>
  <c r="R8" i="10" s="1"/>
  <c r="N13" i="9"/>
  <c r="N14" i="9" s="1"/>
  <c r="C16" i="9"/>
  <c r="D16" i="9" s="1"/>
  <c r="E16" i="9" s="1"/>
  <c r="F16" i="9" s="1"/>
  <c r="G16" i="9" s="1"/>
  <c r="H16" i="9" s="1"/>
  <c r="I16" i="9" s="1"/>
  <c r="J16" i="9" s="1"/>
  <c r="K16" i="9" s="1"/>
  <c r="L16" i="9" s="1"/>
  <c r="M16" i="9" s="1"/>
  <c r="N16" i="9" s="1"/>
  <c r="O16" i="9" s="1"/>
  <c r="P16" i="9" s="1"/>
  <c r="Q16" i="9" s="1"/>
  <c r="R16" i="9" s="1"/>
  <c r="S16" i="9" s="1"/>
  <c r="T16" i="9" s="1"/>
  <c r="U16" i="9" s="1"/>
  <c r="V16" i="9" s="1"/>
  <c r="B14" i="9"/>
  <c r="B13" i="9"/>
  <c r="W12" i="9"/>
  <c r="B11" i="9"/>
  <c r="W10" i="9"/>
  <c r="W9" i="9"/>
  <c r="U8" i="9"/>
  <c r="U11" i="9" s="1"/>
  <c r="T8" i="9"/>
  <c r="T13" i="9" s="1"/>
  <c r="T14" i="9" s="1"/>
  <c r="Q8" i="9"/>
  <c r="Q11" i="9" s="1"/>
  <c r="N8" i="9"/>
  <c r="N11" i="9" s="1"/>
  <c r="I8" i="9"/>
  <c r="I13" i="9" s="1"/>
  <c r="I14" i="9" s="1"/>
  <c r="H8" i="9"/>
  <c r="H11" i="9" s="1"/>
  <c r="G8" i="9"/>
  <c r="G11" i="9" s="1"/>
  <c r="D8" i="9"/>
  <c r="D13" i="9" s="1"/>
  <c r="D14" i="9" s="1"/>
  <c r="B2" i="9"/>
  <c r="S8" i="9" s="1"/>
  <c r="I13" i="8"/>
  <c r="B2" i="8"/>
  <c r="P8" i="8" s="1"/>
  <c r="P11" i="8" s="1"/>
  <c r="C16" i="8"/>
  <c r="D16" i="8" s="1"/>
  <c r="E16" i="8" s="1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R16" i="8" s="1"/>
  <c r="S16" i="8" s="1"/>
  <c r="T16" i="8" s="1"/>
  <c r="U16" i="8" s="1"/>
  <c r="V16" i="8" s="1"/>
  <c r="B13" i="8"/>
  <c r="B14" i="8" s="1"/>
  <c r="W12" i="8"/>
  <c r="B11" i="8"/>
  <c r="W10" i="8"/>
  <c r="W9" i="8"/>
  <c r="T8" i="8"/>
  <c r="T11" i="8" s="1"/>
  <c r="S8" i="8"/>
  <c r="S11" i="8" s="1"/>
  <c r="Q8" i="8"/>
  <c r="Q11" i="8" s="1"/>
  <c r="L8" i="8"/>
  <c r="L11" i="8" s="1"/>
  <c r="K8" i="8"/>
  <c r="K11" i="8" s="1"/>
  <c r="I8" i="8"/>
  <c r="I11" i="8" s="1"/>
  <c r="H8" i="8"/>
  <c r="H11" i="8" s="1"/>
  <c r="G8" i="8"/>
  <c r="G13" i="8" s="1"/>
  <c r="G14" i="8" s="1"/>
  <c r="D8" i="8"/>
  <c r="D11" i="8" s="1"/>
  <c r="C20" i="7"/>
  <c r="D20" i="7" s="1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P20" i="7" s="1"/>
  <c r="Q20" i="7" s="1"/>
  <c r="R20" i="7" s="1"/>
  <c r="S20" i="7" s="1"/>
  <c r="T20" i="7" s="1"/>
  <c r="U20" i="7" s="1"/>
  <c r="V20" i="7" s="1"/>
  <c r="B17" i="7"/>
  <c r="W16" i="7"/>
  <c r="B15" i="7"/>
  <c r="W14" i="7"/>
  <c r="W13" i="7"/>
  <c r="B2" i="7"/>
  <c r="U12" i="7" s="1"/>
  <c r="B2" i="6"/>
  <c r="V12" i="6" s="1"/>
  <c r="V15" i="6" s="1"/>
  <c r="C20" i="6"/>
  <c r="D20" i="6" s="1"/>
  <c r="E20" i="6" s="1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B17" i="6"/>
  <c r="B18" i="6" s="1"/>
  <c r="W16" i="6"/>
  <c r="B15" i="6"/>
  <c r="W14" i="6"/>
  <c r="W13" i="6"/>
  <c r="T12" i="6"/>
  <c r="T15" i="6" s="1"/>
  <c r="O12" i="6"/>
  <c r="O17" i="6" s="1"/>
  <c r="O18" i="6" s="1"/>
  <c r="N12" i="6"/>
  <c r="N15" i="6" s="1"/>
  <c r="L12" i="6"/>
  <c r="L15" i="6" s="1"/>
  <c r="K12" i="6"/>
  <c r="K15" i="6" s="1"/>
  <c r="I12" i="6"/>
  <c r="I15" i="6" s="1"/>
  <c r="D12" i="6"/>
  <c r="D15" i="6" s="1"/>
  <c r="C12" i="6"/>
  <c r="C15" i="6" s="1"/>
  <c r="U12" i="6"/>
  <c r="B2" i="5"/>
  <c r="M12" i="5" s="1"/>
  <c r="C20" i="5"/>
  <c r="D20" i="5" s="1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Q20" i="5" s="1"/>
  <c r="R20" i="5" s="1"/>
  <c r="S20" i="5" s="1"/>
  <c r="T20" i="5" s="1"/>
  <c r="U20" i="5" s="1"/>
  <c r="V20" i="5" s="1"/>
  <c r="B17" i="5"/>
  <c r="B18" i="5" s="1"/>
  <c r="W16" i="5"/>
  <c r="B15" i="5"/>
  <c r="W14" i="5"/>
  <c r="W13" i="5"/>
  <c r="U12" i="5"/>
  <c r="U15" i="5" s="1"/>
  <c r="T12" i="5"/>
  <c r="T15" i="5" s="1"/>
  <c r="K12" i="5"/>
  <c r="K17" i="5" s="1"/>
  <c r="K18" i="5" s="1"/>
  <c r="I12" i="5"/>
  <c r="I15" i="5" s="1"/>
  <c r="H12" i="5"/>
  <c r="H15" i="5" s="1"/>
  <c r="E12" i="5"/>
  <c r="E15" i="5" s="1"/>
  <c r="D12" i="5"/>
  <c r="D15" i="5" s="1"/>
  <c r="D12" i="4"/>
  <c r="E12" i="4"/>
  <c r="F12" i="4"/>
  <c r="G12" i="4"/>
  <c r="K12" i="4"/>
  <c r="K17" i="4" s="1"/>
  <c r="L12" i="4"/>
  <c r="M12" i="4"/>
  <c r="N12" i="4"/>
  <c r="O12" i="4"/>
  <c r="S12" i="4"/>
  <c r="T12" i="4"/>
  <c r="U12" i="4"/>
  <c r="V12" i="4"/>
  <c r="C12" i="4"/>
  <c r="C20" i="4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B17" i="4"/>
  <c r="W16" i="4"/>
  <c r="B15" i="4"/>
  <c r="W14" i="4"/>
  <c r="W13" i="4"/>
  <c r="B2" i="4"/>
  <c r="H12" i="4" s="1"/>
  <c r="C8" i="3"/>
  <c r="C16" i="3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B13" i="3"/>
  <c r="W12" i="3"/>
  <c r="B11" i="3"/>
  <c r="W10" i="3"/>
  <c r="W9" i="3"/>
  <c r="V8" i="3"/>
  <c r="V11" i="3" s="1"/>
  <c r="T8" i="3"/>
  <c r="T11" i="3" s="1"/>
  <c r="Q8" i="3"/>
  <c r="Q11" i="3" s="1"/>
  <c r="P8" i="3"/>
  <c r="P11" i="3" s="1"/>
  <c r="I8" i="3"/>
  <c r="I11" i="3" s="1"/>
  <c r="H8" i="3"/>
  <c r="H11" i="3" s="1"/>
  <c r="G8" i="3"/>
  <c r="G13" i="3" s="1"/>
  <c r="G14" i="3" s="1"/>
  <c r="F8" i="3"/>
  <c r="F11" i="3" s="1"/>
  <c r="D8" i="3"/>
  <c r="D11" i="3" s="1"/>
  <c r="B2" i="3"/>
  <c r="U8" i="3" s="1"/>
  <c r="I11" i="2"/>
  <c r="I13" i="2"/>
  <c r="S8" i="2"/>
  <c r="Q8" i="2"/>
  <c r="P8" i="2"/>
  <c r="O8" i="2"/>
  <c r="K8" i="2"/>
  <c r="K11" i="2" s="1"/>
  <c r="I8" i="2"/>
  <c r="H8" i="2"/>
  <c r="H13" i="2" s="1"/>
  <c r="G8" i="2"/>
  <c r="C8" i="2"/>
  <c r="C13" i="2" s="1"/>
  <c r="B2" i="2"/>
  <c r="R8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B2" i="1"/>
  <c r="V11" i="1" s="1"/>
  <c r="B5" i="1"/>
  <c r="B7" i="1"/>
  <c r="B6" i="1"/>
  <c r="V17" i="1"/>
  <c r="U11" i="1"/>
  <c r="U14" i="1" s="1"/>
  <c r="U15" i="1" s="1"/>
  <c r="U17" i="1"/>
  <c r="T17" i="1"/>
  <c r="S11" i="1"/>
  <c r="S14" i="1" s="1"/>
  <c r="S15" i="1" s="1"/>
  <c r="S17" i="1"/>
  <c r="R17" i="1"/>
  <c r="Q11" i="1"/>
  <c r="Q14" i="1" s="1"/>
  <c r="Q15" i="1" s="1"/>
  <c r="Q17" i="1"/>
  <c r="P17" i="1"/>
  <c r="O11" i="1"/>
  <c r="O19" i="1" s="1"/>
  <c r="O20" i="1" s="1"/>
  <c r="O17" i="1"/>
  <c r="N17" i="1"/>
  <c r="M11" i="1"/>
  <c r="M14" i="1" s="1"/>
  <c r="M15" i="1" s="1"/>
  <c r="M17" i="1"/>
  <c r="L17" i="1"/>
  <c r="K11" i="1"/>
  <c r="K14" i="1" s="1"/>
  <c r="K15" i="1" s="1"/>
  <c r="K17" i="1"/>
  <c r="J17" i="1"/>
  <c r="I11" i="1"/>
  <c r="I14" i="1" s="1"/>
  <c r="I15" i="1" s="1"/>
  <c r="I17" i="1"/>
  <c r="H17" i="1"/>
  <c r="G11" i="1"/>
  <c r="G19" i="1" s="1"/>
  <c r="G20" i="1" s="1"/>
  <c r="G17" i="1"/>
  <c r="F17" i="1"/>
  <c r="E11" i="1"/>
  <c r="E14" i="1" s="1"/>
  <c r="E15" i="1" s="1"/>
  <c r="E17" i="1"/>
  <c r="D17" i="1"/>
  <c r="C17" i="1"/>
  <c r="C11" i="1"/>
  <c r="C14" i="1" s="1"/>
  <c r="B13" i="2"/>
  <c r="B14" i="2" s="1"/>
  <c r="W12" i="2"/>
  <c r="B11" i="2"/>
  <c r="W10" i="2"/>
  <c r="W9" i="2"/>
  <c r="B19" i="1"/>
  <c r="I19" i="1"/>
  <c r="Q19" i="1"/>
  <c r="Q20" i="1" s="1"/>
  <c r="W18" i="1"/>
  <c r="W12" i="1"/>
  <c r="W13" i="1"/>
  <c r="B14" i="1"/>
  <c r="I20" i="1"/>
  <c r="L20" i="12" l="1"/>
  <c r="V14" i="1"/>
  <c r="V15" i="1" s="1"/>
  <c r="V19" i="1"/>
  <c r="V20" i="1" s="1"/>
  <c r="C15" i="1"/>
  <c r="M19" i="1"/>
  <c r="M20" i="1" s="1"/>
  <c r="E19" i="1"/>
  <c r="E20" i="1" s="1"/>
  <c r="D11" i="1"/>
  <c r="F11" i="1"/>
  <c r="H11" i="1"/>
  <c r="J11" i="1"/>
  <c r="L11" i="1"/>
  <c r="N11" i="1"/>
  <c r="P11" i="1"/>
  <c r="R11" i="1"/>
  <c r="T11" i="1"/>
  <c r="D8" i="2"/>
  <c r="L8" i="2"/>
  <c r="T8" i="2"/>
  <c r="K13" i="2"/>
  <c r="L8" i="3"/>
  <c r="L11" i="3" s="1"/>
  <c r="R12" i="4"/>
  <c r="J12" i="4"/>
  <c r="K15" i="4"/>
  <c r="L12" i="5"/>
  <c r="L15" i="5" s="1"/>
  <c r="F12" i="6"/>
  <c r="F15" i="6" s="1"/>
  <c r="P12" i="6"/>
  <c r="F12" i="7"/>
  <c r="F15" i="7" s="1"/>
  <c r="V12" i="7"/>
  <c r="V15" i="7" s="1"/>
  <c r="V8" i="8"/>
  <c r="O8" i="8"/>
  <c r="O13" i="8" s="1"/>
  <c r="O14" i="8" s="1"/>
  <c r="H13" i="8"/>
  <c r="H14" i="8" s="1"/>
  <c r="L8" i="9"/>
  <c r="V8" i="9"/>
  <c r="G13" i="9"/>
  <c r="G14" i="9" s="1"/>
  <c r="I11" i="9"/>
  <c r="U19" i="1"/>
  <c r="U20" i="1" s="1"/>
  <c r="B20" i="1"/>
  <c r="E8" i="2"/>
  <c r="W8" i="2" s="1"/>
  <c r="M8" i="2"/>
  <c r="U8" i="2"/>
  <c r="N8" i="3"/>
  <c r="N11" i="3" s="1"/>
  <c r="I13" i="3"/>
  <c r="Q12" i="4"/>
  <c r="Q15" i="4" s="1"/>
  <c r="I12" i="4"/>
  <c r="V12" i="5"/>
  <c r="Q12" i="5"/>
  <c r="Q15" i="5" s="1"/>
  <c r="G12" i="6"/>
  <c r="G17" i="6" s="1"/>
  <c r="G18" i="6" s="1"/>
  <c r="Q12" i="6"/>
  <c r="Q15" i="6" s="1"/>
  <c r="G12" i="7"/>
  <c r="G17" i="7" s="1"/>
  <c r="G18" i="7" s="1"/>
  <c r="C8" i="8"/>
  <c r="C11" i="8" s="1"/>
  <c r="M8" i="9"/>
  <c r="H13" i="9"/>
  <c r="H14" i="9" s="1"/>
  <c r="U13" i="10"/>
  <c r="U14" i="10" s="1"/>
  <c r="I20" i="12"/>
  <c r="S19" i="1"/>
  <c r="S20" i="1" s="1"/>
  <c r="K19" i="1"/>
  <c r="K20" i="1" s="1"/>
  <c r="C19" i="1"/>
  <c r="F8" i="2"/>
  <c r="N8" i="2"/>
  <c r="V8" i="2"/>
  <c r="O8" i="3"/>
  <c r="O13" i="3" s="1"/>
  <c r="O14" i="3" s="1"/>
  <c r="P12" i="4"/>
  <c r="P15" i="4" s="1"/>
  <c r="C12" i="5"/>
  <c r="C15" i="5" s="1"/>
  <c r="S12" i="5"/>
  <c r="S15" i="5" s="1"/>
  <c r="H12" i="6"/>
  <c r="H15" i="6" s="1"/>
  <c r="S12" i="6"/>
  <c r="S15" i="6" s="1"/>
  <c r="H12" i="7"/>
  <c r="L13" i="8"/>
  <c r="L14" i="8" s="1"/>
  <c r="L14" i="10"/>
  <c r="K11" i="10"/>
  <c r="H17" i="11"/>
  <c r="G14" i="1"/>
  <c r="G15" i="1" s="1"/>
  <c r="O14" i="1"/>
  <c r="O15" i="1" s="1"/>
  <c r="I12" i="7"/>
  <c r="I15" i="7" s="1"/>
  <c r="E8" i="9"/>
  <c r="O8" i="9"/>
  <c r="M8" i="10"/>
  <c r="I12" i="11"/>
  <c r="S12" i="11"/>
  <c r="S15" i="11" s="1"/>
  <c r="U20" i="12"/>
  <c r="Q12" i="7"/>
  <c r="Q15" i="7" s="1"/>
  <c r="N12" i="7"/>
  <c r="N15" i="7" s="1"/>
  <c r="F8" i="9"/>
  <c r="P8" i="9"/>
  <c r="Q13" i="9"/>
  <c r="Q14" i="9" s="1"/>
  <c r="C8" i="10"/>
  <c r="C11" i="10" s="1"/>
  <c r="N8" i="10"/>
  <c r="N13" i="10" s="1"/>
  <c r="N14" i="10" s="1"/>
  <c r="K12" i="11"/>
  <c r="T12" i="11"/>
  <c r="T15" i="11" s="1"/>
  <c r="E17" i="11"/>
  <c r="E18" i="11" s="1"/>
  <c r="V20" i="12"/>
  <c r="S20" i="12"/>
  <c r="O12" i="7"/>
  <c r="O17" i="7" s="1"/>
  <c r="O18" i="7" s="1"/>
  <c r="U13" i="9"/>
  <c r="U14" i="9" s="1"/>
  <c r="D8" i="10"/>
  <c r="D11" i="10" s="1"/>
  <c r="P8" i="10"/>
  <c r="P11" i="10" s="1"/>
  <c r="L13" i="10"/>
  <c r="C12" i="11"/>
  <c r="C15" i="11" s="1"/>
  <c r="L12" i="11"/>
  <c r="U12" i="11"/>
  <c r="G17" i="11"/>
  <c r="G18" i="11" s="1"/>
  <c r="J8" i="2"/>
  <c r="H13" i="3"/>
  <c r="I17" i="6"/>
  <c r="P12" i="7"/>
  <c r="P15" i="7" s="1"/>
  <c r="M17" i="11"/>
  <c r="M18" i="11" s="1"/>
  <c r="Q15" i="12"/>
  <c r="Q21" i="12" s="1"/>
  <c r="H15" i="12"/>
  <c r="H21" i="12" s="1"/>
  <c r="E15" i="12"/>
  <c r="E21" i="12" s="1"/>
  <c r="K15" i="12"/>
  <c r="K21" i="12" s="1"/>
  <c r="D15" i="12"/>
  <c r="D21" i="12" s="1"/>
  <c r="R15" i="12"/>
  <c r="R21" i="12" s="1"/>
  <c r="P15" i="12"/>
  <c r="P21" i="12" s="1"/>
  <c r="G15" i="12"/>
  <c r="G21" i="12" s="1"/>
  <c r="J15" i="12"/>
  <c r="J21" i="12" s="1"/>
  <c r="F15" i="12"/>
  <c r="F21" i="12" s="1"/>
  <c r="M15" i="12"/>
  <c r="M21" i="12" s="1"/>
  <c r="C15" i="12"/>
  <c r="C21" i="12" s="1"/>
  <c r="N15" i="12"/>
  <c r="N21" i="12" s="1"/>
  <c r="T15" i="12"/>
  <c r="T21" i="12" s="1"/>
  <c r="O15" i="12"/>
  <c r="O21" i="12" s="1"/>
  <c r="W12" i="12"/>
  <c r="R15" i="11"/>
  <c r="R17" i="11"/>
  <c r="R18" i="11" s="1"/>
  <c r="H18" i="11"/>
  <c r="P17" i="11"/>
  <c r="P18" i="11" s="1"/>
  <c r="V15" i="11"/>
  <c r="Q17" i="11"/>
  <c r="Q18" i="11" s="1"/>
  <c r="N15" i="11"/>
  <c r="J12" i="11"/>
  <c r="S17" i="11"/>
  <c r="S18" i="11" s="1"/>
  <c r="F15" i="11"/>
  <c r="D17" i="11"/>
  <c r="D18" i="11" s="1"/>
  <c r="T17" i="11"/>
  <c r="T18" i="11" s="1"/>
  <c r="R11" i="10"/>
  <c r="R13" i="10"/>
  <c r="R14" i="10" s="1"/>
  <c r="G8" i="10"/>
  <c r="W8" i="10" s="1"/>
  <c r="O8" i="10"/>
  <c r="H13" i="10"/>
  <c r="H14" i="10" s="1"/>
  <c r="F11" i="10"/>
  <c r="N11" i="10"/>
  <c r="I8" i="10"/>
  <c r="I13" i="10" s="1"/>
  <c r="Q8" i="10"/>
  <c r="J8" i="10"/>
  <c r="C13" i="10"/>
  <c r="K14" i="10"/>
  <c r="S13" i="10"/>
  <c r="S14" i="10" s="1"/>
  <c r="V11" i="10"/>
  <c r="D13" i="10"/>
  <c r="D14" i="10" s="1"/>
  <c r="T13" i="10"/>
  <c r="T14" i="10" s="1"/>
  <c r="S11" i="9"/>
  <c r="S13" i="9"/>
  <c r="S14" i="9" s="1"/>
  <c r="D11" i="9"/>
  <c r="T11" i="9"/>
  <c r="J8" i="9"/>
  <c r="R8" i="9"/>
  <c r="C8" i="9"/>
  <c r="K8" i="9"/>
  <c r="D13" i="8"/>
  <c r="D14" i="8" s="1"/>
  <c r="P13" i="8"/>
  <c r="P14" i="8" s="1"/>
  <c r="T13" i="8"/>
  <c r="T14" i="8" s="1"/>
  <c r="V11" i="8"/>
  <c r="V13" i="8"/>
  <c r="V14" i="8" s="1"/>
  <c r="I14" i="8"/>
  <c r="Q13" i="8"/>
  <c r="Q14" i="8" s="1"/>
  <c r="J8" i="8"/>
  <c r="J13" i="8" s="1"/>
  <c r="R8" i="8"/>
  <c r="C13" i="8"/>
  <c r="K13" i="8"/>
  <c r="K14" i="8" s="1"/>
  <c r="S13" i="8"/>
  <c r="S14" i="8" s="1"/>
  <c r="G11" i="8"/>
  <c r="E8" i="8"/>
  <c r="M8" i="8"/>
  <c r="U8" i="8"/>
  <c r="F8" i="8"/>
  <c r="N8" i="8"/>
  <c r="I17" i="7"/>
  <c r="I18" i="7" s="1"/>
  <c r="Q17" i="7"/>
  <c r="Q18" i="7" s="1"/>
  <c r="U15" i="7"/>
  <c r="U17" i="7"/>
  <c r="U18" i="7" s="1"/>
  <c r="G15" i="7"/>
  <c r="O15" i="7"/>
  <c r="P17" i="7"/>
  <c r="P18" i="7" s="1"/>
  <c r="B18" i="7"/>
  <c r="C12" i="7"/>
  <c r="K12" i="7"/>
  <c r="S12" i="7"/>
  <c r="R12" i="7"/>
  <c r="D12" i="7"/>
  <c r="L12" i="7"/>
  <c r="T12" i="7"/>
  <c r="J12" i="7"/>
  <c r="E12" i="7"/>
  <c r="M12" i="7"/>
  <c r="F17" i="7"/>
  <c r="F18" i="7" s="1"/>
  <c r="N17" i="7"/>
  <c r="N18" i="7" s="1"/>
  <c r="V17" i="7"/>
  <c r="V18" i="7" s="1"/>
  <c r="H17" i="6"/>
  <c r="H18" i="6" s="1"/>
  <c r="U15" i="6"/>
  <c r="U17" i="6"/>
  <c r="U18" i="6" s="1"/>
  <c r="I18" i="6"/>
  <c r="Q17" i="6"/>
  <c r="Q18" i="6" s="1"/>
  <c r="J12" i="6"/>
  <c r="J17" i="6" s="1"/>
  <c r="R12" i="6"/>
  <c r="C17" i="6"/>
  <c r="K17" i="6"/>
  <c r="K18" i="6" s="1"/>
  <c r="S17" i="6"/>
  <c r="S18" i="6" s="1"/>
  <c r="D17" i="6"/>
  <c r="D18" i="6" s="1"/>
  <c r="L17" i="6"/>
  <c r="L18" i="6" s="1"/>
  <c r="T17" i="6"/>
  <c r="T18" i="6" s="1"/>
  <c r="O15" i="6"/>
  <c r="E12" i="6"/>
  <c r="M12" i="6"/>
  <c r="F17" i="6"/>
  <c r="F18" i="6" s="1"/>
  <c r="N17" i="6"/>
  <c r="N18" i="6" s="1"/>
  <c r="V17" i="6"/>
  <c r="V18" i="6" s="1"/>
  <c r="M15" i="5"/>
  <c r="M17" i="5"/>
  <c r="M18" i="5" s="1"/>
  <c r="E17" i="5"/>
  <c r="E18" i="5" s="1"/>
  <c r="L17" i="5"/>
  <c r="L18" i="5" s="1"/>
  <c r="D17" i="5"/>
  <c r="D18" i="5" s="1"/>
  <c r="T17" i="5"/>
  <c r="T18" i="5" s="1"/>
  <c r="U17" i="5"/>
  <c r="U18" i="5" s="1"/>
  <c r="V15" i="5"/>
  <c r="V17" i="5"/>
  <c r="V18" i="5" s="1"/>
  <c r="K15" i="5"/>
  <c r="G12" i="5"/>
  <c r="O12" i="5"/>
  <c r="H17" i="5"/>
  <c r="H18" i="5" s="1"/>
  <c r="P12" i="5"/>
  <c r="I17" i="5"/>
  <c r="I18" i="5" s="1"/>
  <c r="J12" i="5"/>
  <c r="J17" i="5" s="1"/>
  <c r="R12" i="5"/>
  <c r="C17" i="5"/>
  <c r="S17" i="5"/>
  <c r="S18" i="5" s="1"/>
  <c r="F12" i="5"/>
  <c r="N12" i="5"/>
  <c r="W12" i="5" s="1"/>
  <c r="I15" i="4"/>
  <c r="H15" i="4"/>
  <c r="V15" i="4"/>
  <c r="V17" i="4"/>
  <c r="V18" i="4" s="1"/>
  <c r="B18" i="4"/>
  <c r="Q17" i="4"/>
  <c r="Q18" i="4" s="1"/>
  <c r="H14" i="3"/>
  <c r="P13" i="3"/>
  <c r="P14" i="3" s="1"/>
  <c r="U11" i="3"/>
  <c r="U13" i="3"/>
  <c r="U14" i="3" s="1"/>
  <c r="G11" i="3"/>
  <c r="B14" i="3"/>
  <c r="I14" i="3"/>
  <c r="Q13" i="3"/>
  <c r="Q14" i="3" s="1"/>
  <c r="J8" i="3"/>
  <c r="J13" i="3" s="1"/>
  <c r="R8" i="3"/>
  <c r="K8" i="3"/>
  <c r="K13" i="3" s="1"/>
  <c r="S8" i="3"/>
  <c r="D13" i="3"/>
  <c r="D14" i="3" s="1"/>
  <c r="L13" i="3"/>
  <c r="L14" i="3" s="1"/>
  <c r="T13" i="3"/>
  <c r="T14" i="3" s="1"/>
  <c r="E8" i="3"/>
  <c r="M8" i="3"/>
  <c r="F13" i="3"/>
  <c r="F14" i="3" s="1"/>
  <c r="N13" i="3"/>
  <c r="N14" i="3" s="1"/>
  <c r="V13" i="3"/>
  <c r="V14" i="3" s="1"/>
  <c r="Q11" i="2"/>
  <c r="Q13" i="2"/>
  <c r="Q14" i="2" s="1"/>
  <c r="G11" i="2"/>
  <c r="E11" i="2"/>
  <c r="T11" i="2"/>
  <c r="N11" i="2"/>
  <c r="H11" i="2"/>
  <c r="C11" i="2"/>
  <c r="E13" i="2"/>
  <c r="E14" i="2" s="1"/>
  <c r="T13" i="2"/>
  <c r="T14" i="2" s="1"/>
  <c r="C14" i="2"/>
  <c r="J20" i="12" l="1"/>
  <c r="L15" i="11"/>
  <c r="L17" i="11"/>
  <c r="L18" i="11" s="1"/>
  <c r="I15" i="11"/>
  <c r="I17" i="11"/>
  <c r="I18" i="11" s="1"/>
  <c r="T14" i="1"/>
  <c r="T15" i="1" s="1"/>
  <c r="T19" i="1"/>
  <c r="T20" i="1" s="1"/>
  <c r="W11" i="1"/>
  <c r="D14" i="1"/>
  <c r="D19" i="1"/>
  <c r="D20" i="1" s="1"/>
  <c r="W12" i="11"/>
  <c r="J17" i="11"/>
  <c r="J18" i="11" s="1"/>
  <c r="J13" i="9"/>
  <c r="J11" i="9"/>
  <c r="R19" i="1"/>
  <c r="R20" i="1" s="1"/>
  <c r="R14" i="1"/>
  <c r="R15" i="1" s="1"/>
  <c r="O11" i="3"/>
  <c r="P13" i="10"/>
  <c r="P14" i="10" s="1"/>
  <c r="O20" i="12"/>
  <c r="F11" i="9"/>
  <c r="F13" i="9"/>
  <c r="F14" i="9" s="1"/>
  <c r="O11" i="9"/>
  <c r="O13" i="9"/>
  <c r="O14" i="9" s="1"/>
  <c r="P19" i="1"/>
  <c r="P20" i="1" s="1"/>
  <c r="P14" i="1"/>
  <c r="P15" i="1" s="1"/>
  <c r="Q20" i="12"/>
  <c r="R20" i="12"/>
  <c r="E11" i="9"/>
  <c r="E13" i="9"/>
  <c r="E14" i="9" s="1"/>
  <c r="H15" i="7"/>
  <c r="H17" i="7"/>
  <c r="H18" i="7" s="1"/>
  <c r="N14" i="1"/>
  <c r="N15" i="1" s="1"/>
  <c r="N19" i="1"/>
  <c r="N20" i="1" s="1"/>
  <c r="O11" i="8"/>
  <c r="N20" i="12"/>
  <c r="D20" i="12"/>
  <c r="M11" i="9"/>
  <c r="M13" i="9"/>
  <c r="M14" i="9" s="1"/>
  <c r="L14" i="1"/>
  <c r="L15" i="1" s="1"/>
  <c r="L19" i="1"/>
  <c r="L20" i="1" s="1"/>
  <c r="M13" i="10"/>
  <c r="M14" i="10" s="1"/>
  <c r="M11" i="10"/>
  <c r="P17" i="4"/>
  <c r="P18" i="4" s="1"/>
  <c r="G15" i="6"/>
  <c r="J11" i="10"/>
  <c r="J13" i="10"/>
  <c r="K20" i="12"/>
  <c r="J11" i="2"/>
  <c r="J13" i="2"/>
  <c r="K15" i="11"/>
  <c r="K17" i="11"/>
  <c r="K18" i="11" s="1"/>
  <c r="C20" i="1"/>
  <c r="B26" i="1" s="1"/>
  <c r="P15" i="6"/>
  <c r="P17" i="6"/>
  <c r="P18" i="6" s="1"/>
  <c r="J19" i="1"/>
  <c r="J20" i="1" s="1"/>
  <c r="J14" i="1"/>
  <c r="J15" i="1" s="1"/>
  <c r="P11" i="9"/>
  <c r="P13" i="9"/>
  <c r="P14" i="9" s="1"/>
  <c r="K11" i="9"/>
  <c r="K13" i="9"/>
  <c r="M20" i="12"/>
  <c r="E20" i="12"/>
  <c r="V11" i="9"/>
  <c r="V13" i="9"/>
  <c r="V14" i="9" s="1"/>
  <c r="H19" i="1"/>
  <c r="H20" i="1" s="1"/>
  <c r="H14" i="1"/>
  <c r="H15" i="1" s="1"/>
  <c r="G20" i="12"/>
  <c r="Q17" i="5"/>
  <c r="Q18" i="5" s="1"/>
  <c r="C17" i="11"/>
  <c r="F20" i="12"/>
  <c r="H20" i="12"/>
  <c r="U15" i="11"/>
  <c r="U17" i="11"/>
  <c r="U18" i="11" s="1"/>
  <c r="L11" i="9"/>
  <c r="L13" i="9"/>
  <c r="L14" i="9" s="1"/>
  <c r="F19" i="1"/>
  <c r="F20" i="1" s="1"/>
  <c r="F14" i="1"/>
  <c r="F15" i="1" s="1"/>
  <c r="T20" i="12"/>
  <c r="P20" i="12"/>
  <c r="C20" i="12"/>
  <c r="W19" i="12"/>
  <c r="X19" i="12" s="1"/>
  <c r="W15" i="12"/>
  <c r="C18" i="11"/>
  <c r="J15" i="11"/>
  <c r="C14" i="10"/>
  <c r="J14" i="10"/>
  <c r="O13" i="10"/>
  <c r="O14" i="10" s="1"/>
  <c r="O11" i="10"/>
  <c r="Q11" i="10"/>
  <c r="Q13" i="10"/>
  <c r="Q14" i="10" s="1"/>
  <c r="G13" i="10"/>
  <c r="G14" i="10" s="1"/>
  <c r="G11" i="10"/>
  <c r="I14" i="10"/>
  <c r="I11" i="10"/>
  <c r="R11" i="9"/>
  <c r="R13" i="9"/>
  <c r="R14" i="9" s="1"/>
  <c r="C11" i="9"/>
  <c r="C13" i="9"/>
  <c r="W8" i="9"/>
  <c r="J14" i="9"/>
  <c r="K14" i="9"/>
  <c r="U11" i="8"/>
  <c r="U13" i="8"/>
  <c r="U14" i="8" s="1"/>
  <c r="J11" i="8"/>
  <c r="J14" i="8"/>
  <c r="M11" i="8"/>
  <c r="M13" i="8"/>
  <c r="M14" i="8" s="1"/>
  <c r="E11" i="8"/>
  <c r="E13" i="8"/>
  <c r="W8" i="8"/>
  <c r="N11" i="8"/>
  <c r="N13" i="8"/>
  <c r="N14" i="8" s="1"/>
  <c r="F11" i="8"/>
  <c r="F13" i="8"/>
  <c r="F14" i="8" s="1"/>
  <c r="C14" i="8"/>
  <c r="R11" i="8"/>
  <c r="R13" i="8"/>
  <c r="R14" i="8" s="1"/>
  <c r="T15" i="7"/>
  <c r="T17" i="7"/>
  <c r="T18" i="7" s="1"/>
  <c r="L15" i="7"/>
  <c r="L17" i="7"/>
  <c r="L18" i="7" s="1"/>
  <c r="R17" i="7"/>
  <c r="R18" i="7" s="1"/>
  <c r="R15" i="7"/>
  <c r="S15" i="7"/>
  <c r="S17" i="7"/>
  <c r="S18" i="7" s="1"/>
  <c r="M15" i="7"/>
  <c r="M17" i="7"/>
  <c r="M18" i="7" s="1"/>
  <c r="K15" i="7"/>
  <c r="K17" i="7"/>
  <c r="K18" i="7" s="1"/>
  <c r="J15" i="7"/>
  <c r="J17" i="7"/>
  <c r="J18" i="7" s="1"/>
  <c r="D15" i="7"/>
  <c r="D17" i="7"/>
  <c r="D18" i="7" s="1"/>
  <c r="E15" i="7"/>
  <c r="E17" i="7"/>
  <c r="E18" i="7" s="1"/>
  <c r="C17" i="7"/>
  <c r="C15" i="7"/>
  <c r="W12" i="7"/>
  <c r="J15" i="6"/>
  <c r="J18" i="6"/>
  <c r="M15" i="6"/>
  <c r="M17" i="6"/>
  <c r="M18" i="6" s="1"/>
  <c r="E15" i="6"/>
  <c r="E17" i="6"/>
  <c r="E18" i="6" s="1"/>
  <c r="W12" i="6"/>
  <c r="C18" i="6"/>
  <c r="R15" i="6"/>
  <c r="R17" i="6"/>
  <c r="R18" i="6" s="1"/>
  <c r="O17" i="5"/>
  <c r="O18" i="5" s="1"/>
  <c r="O15" i="5"/>
  <c r="G17" i="5"/>
  <c r="G18" i="5" s="1"/>
  <c r="G15" i="5"/>
  <c r="C18" i="5"/>
  <c r="B25" i="5"/>
  <c r="C25" i="5" s="1"/>
  <c r="R15" i="5"/>
  <c r="R17" i="5"/>
  <c r="R18" i="5" s="1"/>
  <c r="J15" i="5"/>
  <c r="J18" i="5"/>
  <c r="N15" i="5"/>
  <c r="N17" i="5"/>
  <c r="N18" i="5" s="1"/>
  <c r="P15" i="5"/>
  <c r="P17" i="5"/>
  <c r="P18" i="5" s="1"/>
  <c r="F15" i="5"/>
  <c r="W15" i="5" s="1"/>
  <c r="F17" i="5"/>
  <c r="F18" i="5" s="1"/>
  <c r="H17" i="4"/>
  <c r="H18" i="4" s="1"/>
  <c r="I17" i="4"/>
  <c r="I18" i="4" s="1"/>
  <c r="G17" i="4"/>
  <c r="G18" i="4" s="1"/>
  <c r="G15" i="4"/>
  <c r="N15" i="4"/>
  <c r="N17" i="4"/>
  <c r="N18" i="4" s="1"/>
  <c r="O17" i="4"/>
  <c r="O18" i="4" s="1"/>
  <c r="O15" i="4"/>
  <c r="J15" i="4"/>
  <c r="J17" i="4"/>
  <c r="J18" i="4" s="1"/>
  <c r="R15" i="4"/>
  <c r="R17" i="4"/>
  <c r="R18" i="4" s="1"/>
  <c r="S17" i="4"/>
  <c r="S18" i="4" s="1"/>
  <c r="S15" i="4"/>
  <c r="K18" i="4"/>
  <c r="T15" i="4"/>
  <c r="T17" i="4"/>
  <c r="T18" i="4" s="1"/>
  <c r="C15" i="4"/>
  <c r="C17" i="4"/>
  <c r="W12" i="4"/>
  <c r="F15" i="4"/>
  <c r="F17" i="4"/>
  <c r="F18" i="4" s="1"/>
  <c r="L17" i="4"/>
  <c r="L18" i="4" s="1"/>
  <c r="L15" i="4"/>
  <c r="D15" i="4"/>
  <c r="D17" i="4"/>
  <c r="D18" i="4" s="1"/>
  <c r="U15" i="4"/>
  <c r="U17" i="4"/>
  <c r="U18" i="4" s="1"/>
  <c r="M15" i="4"/>
  <c r="M17" i="4"/>
  <c r="M18" i="4" s="1"/>
  <c r="E15" i="4"/>
  <c r="E17" i="4"/>
  <c r="E18" i="4" s="1"/>
  <c r="S11" i="3"/>
  <c r="S13" i="3"/>
  <c r="S14" i="3" s="1"/>
  <c r="M11" i="3"/>
  <c r="M13" i="3"/>
  <c r="M14" i="3" s="1"/>
  <c r="W8" i="3"/>
  <c r="C11" i="3"/>
  <c r="C13" i="3"/>
  <c r="E11" i="3"/>
  <c r="E13" i="3"/>
  <c r="E14" i="3" s="1"/>
  <c r="R13" i="3"/>
  <c r="R14" i="3" s="1"/>
  <c r="R11" i="3"/>
  <c r="J14" i="3"/>
  <c r="J11" i="3"/>
  <c r="K11" i="3"/>
  <c r="K14" i="3"/>
  <c r="G13" i="2"/>
  <c r="G14" i="2" s="1"/>
  <c r="H14" i="2"/>
  <c r="M11" i="2"/>
  <c r="M13" i="2"/>
  <c r="M14" i="2" s="1"/>
  <c r="P11" i="2"/>
  <c r="P13" i="2"/>
  <c r="P14" i="2" s="1"/>
  <c r="J14" i="2"/>
  <c r="I14" i="2"/>
  <c r="R11" i="2"/>
  <c r="R13" i="2"/>
  <c r="R14" i="2" s="1"/>
  <c r="L11" i="2"/>
  <c r="L13" i="2"/>
  <c r="L14" i="2" s="1"/>
  <c r="F13" i="2"/>
  <c r="F14" i="2" s="1"/>
  <c r="F11" i="2"/>
  <c r="K14" i="2"/>
  <c r="S13" i="2"/>
  <c r="S14" i="2" s="1"/>
  <c r="S11" i="2"/>
  <c r="D11" i="2"/>
  <c r="D13" i="2"/>
  <c r="O13" i="2"/>
  <c r="O14" i="2" s="1"/>
  <c r="O11" i="2"/>
  <c r="N13" i="2"/>
  <c r="N14" i="2" s="1"/>
  <c r="V13" i="2"/>
  <c r="V14" i="2" s="1"/>
  <c r="V11" i="2"/>
  <c r="U11" i="2"/>
  <c r="U13" i="2"/>
  <c r="U14" i="2" s="1"/>
  <c r="C17" i="2"/>
  <c r="W20" i="12" l="1"/>
  <c r="W21" i="12"/>
  <c r="W22" i="12" s="1"/>
  <c r="W23" i="12" s="1"/>
  <c r="W24" i="12" s="1"/>
  <c r="B30" i="12"/>
  <c r="C30" i="12" s="1"/>
  <c r="W15" i="11"/>
  <c r="W19" i="1"/>
  <c r="B25" i="1"/>
  <c r="C25" i="1" s="1"/>
  <c r="D15" i="1"/>
  <c r="W14" i="1"/>
  <c r="W11" i="2"/>
  <c r="W15" i="6"/>
  <c r="C21" i="11"/>
  <c r="D21" i="11" s="1"/>
  <c r="E21" i="11" s="1"/>
  <c r="F21" i="11" s="1"/>
  <c r="G21" i="11" s="1"/>
  <c r="H21" i="11" s="1"/>
  <c r="I21" i="11" s="1"/>
  <c r="J21" i="11" s="1"/>
  <c r="K21" i="11" s="1"/>
  <c r="L21" i="11" s="1"/>
  <c r="M21" i="11" s="1"/>
  <c r="N21" i="11" s="1"/>
  <c r="O21" i="11" s="1"/>
  <c r="P21" i="11" s="1"/>
  <c r="Q21" i="11" s="1"/>
  <c r="R21" i="11" s="1"/>
  <c r="S21" i="11" s="1"/>
  <c r="T21" i="11" s="1"/>
  <c r="U21" i="11" s="1"/>
  <c r="V21" i="11" s="1"/>
  <c r="B26" i="11"/>
  <c r="B25" i="11"/>
  <c r="C25" i="11" s="1"/>
  <c r="W17" i="11"/>
  <c r="W11" i="10"/>
  <c r="W13" i="10"/>
  <c r="C17" i="10"/>
  <c r="D17" i="10" s="1"/>
  <c r="E17" i="10" s="1"/>
  <c r="F17" i="10" s="1"/>
  <c r="G17" i="10" s="1"/>
  <c r="H17" i="10" s="1"/>
  <c r="I17" i="10" s="1"/>
  <c r="J17" i="10" s="1"/>
  <c r="K17" i="10" s="1"/>
  <c r="L17" i="10" s="1"/>
  <c r="M17" i="10" s="1"/>
  <c r="N17" i="10" s="1"/>
  <c r="O17" i="10" s="1"/>
  <c r="P17" i="10" s="1"/>
  <c r="Q17" i="10" s="1"/>
  <c r="R17" i="10" s="1"/>
  <c r="S17" i="10" s="1"/>
  <c r="T17" i="10" s="1"/>
  <c r="U17" i="10" s="1"/>
  <c r="V17" i="10" s="1"/>
  <c r="B22" i="10"/>
  <c r="B21" i="10"/>
  <c r="C21" i="10" s="1"/>
  <c r="B21" i="9"/>
  <c r="C21" i="9" s="1"/>
  <c r="C14" i="9"/>
  <c r="W13" i="9"/>
  <c r="W11" i="9"/>
  <c r="C17" i="8"/>
  <c r="D17" i="8" s="1"/>
  <c r="E14" i="8"/>
  <c r="B22" i="8" s="1"/>
  <c r="B21" i="8"/>
  <c r="C21" i="8" s="1"/>
  <c r="W13" i="8"/>
  <c r="W11" i="8"/>
  <c r="W15" i="7"/>
  <c r="W17" i="7"/>
  <c r="C18" i="7"/>
  <c r="B25" i="7"/>
  <c r="C25" i="7" s="1"/>
  <c r="B25" i="6"/>
  <c r="C25" i="6" s="1"/>
  <c r="C21" i="6"/>
  <c r="D21" i="6" s="1"/>
  <c r="E21" i="6" s="1"/>
  <c r="F21" i="6" s="1"/>
  <c r="G21" i="6" s="1"/>
  <c r="H21" i="6" s="1"/>
  <c r="I21" i="6" s="1"/>
  <c r="J21" i="6" s="1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B26" i="6"/>
  <c r="W17" i="6"/>
  <c r="W17" i="5"/>
  <c r="C21" i="5"/>
  <c r="D21" i="5" s="1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B26" i="5"/>
  <c r="W17" i="4"/>
  <c r="C18" i="4"/>
  <c r="B25" i="4"/>
  <c r="C25" i="4" s="1"/>
  <c r="W15" i="4"/>
  <c r="W13" i="3"/>
  <c r="C14" i="3"/>
  <c r="B21" i="3"/>
  <c r="C21" i="3" s="1"/>
  <c r="W11" i="3"/>
  <c r="W13" i="2"/>
  <c r="D14" i="2"/>
  <c r="B22" i="2" s="1"/>
  <c r="B21" i="2"/>
  <c r="C21" i="2" s="1"/>
  <c r="C17" i="9" l="1"/>
  <c r="D17" i="9" s="1"/>
  <c r="E17" i="9" s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B22" i="9"/>
  <c r="E17" i="8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T17" i="8" s="1"/>
  <c r="U17" i="8" s="1"/>
  <c r="V17" i="8" s="1"/>
  <c r="C21" i="7"/>
  <c r="D21" i="7" s="1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B26" i="7"/>
  <c r="C21" i="4"/>
  <c r="D21" i="4" s="1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B26" i="4"/>
  <c r="C17" i="3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B22" i="3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</calcChain>
</file>

<file path=xl/sharedStrings.xml><?xml version="1.0" encoding="utf-8"?>
<sst xmlns="http://schemas.openxmlformats.org/spreadsheetml/2006/main" count="859" uniqueCount="87">
  <si>
    <t xml:space="preserve">ผลิตไฟฟ้าได้วันละ </t>
  </si>
  <si>
    <t>ยูนิต (คำนวณ วันละ 5 ชม. คิดชม.ละ 5,000 ยูนิต)</t>
  </si>
  <si>
    <t>วันทำงาน สัปดาห์ละ</t>
  </si>
  <si>
    <t xml:space="preserve">วัน </t>
  </si>
  <si>
    <t>1 ปี มี</t>
  </si>
  <si>
    <t>สัปดาห์</t>
  </si>
  <si>
    <t xml:space="preserve">ค่าไฟฟ้า คิดยูนิตละ </t>
  </si>
  <si>
    <t>บาท (วันทำงาน)</t>
  </si>
  <si>
    <t>บาท (วันหยุด)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</si>
  <si>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</si>
  <si>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</si>
  <si>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</si>
  <si>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</si>
  <si>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</si>
  <si>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</si>
  <si>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</si>
  <si>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</si>
  <si>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</si>
  <si>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</si>
  <si>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</si>
  <si>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</si>
  <si>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</si>
  <si>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</si>
  <si>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</si>
  <si>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</si>
  <si>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</si>
  <si>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</si>
  <si>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</si>
  <si>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</si>
  <si>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</si>
  <si>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</si>
  <si>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</si>
  <si>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</si>
  <si>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</si>
  <si>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ค่าไฟฟ้าจากหน่วยงาน</t>
  </si>
  <si>
    <t>NPV (rate 7.5%)</t>
  </si>
  <si>
    <t>IRR</t>
  </si>
  <si>
    <t>หมายเหตุ</t>
  </si>
  <si>
    <t>ค่าห้องปฏิบัติการ</t>
  </si>
  <si>
    <t>เงินลงทุน (ผู้ลงทุน)</t>
  </si>
  <si>
    <t>เท่า ของเงินลงทุน</t>
  </si>
  <si>
    <t>ผลตอบแทนผู้ลงทุน</t>
  </si>
  <si>
    <t>วันเสาร์อาทิตย์และวันหยุดพิเศษ (คิด 21 วัน)</t>
  </si>
  <si>
    <t>ค่าตอบแทนผู้ลงทุน (83% :6 ปีแรก)(50% : ปีต่อไปนับจากคืนทุน)</t>
  </si>
  <si>
    <t>ค่าดำเนินการ (17% : 6 ปีแรก) (50% : ปีต่อไปนับจากคืนทุนผู้ลงทุน)</t>
  </si>
  <si>
    <t>Break even Point</t>
  </si>
  <si>
    <t xml:space="preserve"> </t>
  </si>
  <si>
    <t xml:space="preserve"> (5 ปี 2 เดือน)</t>
  </si>
  <si>
    <t>ระยะเวลาก่อสร้างประมาณ 3 เดือน (เริ่มก่อสร้างและติดตั้ง ต.ค.-ธ.ค.67)</t>
  </si>
  <si>
    <t xml:space="preserve"> - เงินเดือนพนักงาน</t>
  </si>
  <si>
    <t xml:space="preserve"> - ค่าอุปกรณ์แผงโซลา และอุปกรณ์ &amp; ค่าก่อสร้าง</t>
  </si>
  <si>
    <t xml:space="preserve"> - ค่าบำรุงรักษา</t>
  </si>
  <si>
    <t>รายได้สะสม</t>
  </si>
  <si>
    <t>ลงทุน</t>
  </si>
  <si>
    <t>ยูนิต (คำนวณ วันละ 4 ชม. คิดชม.ละ 4,200 ยูนิต)</t>
  </si>
  <si>
    <t>จำนวนวันต่อปี</t>
  </si>
  <si>
    <t xml:space="preserve">บาท </t>
  </si>
  <si>
    <t xml:space="preserve"> (8 ปี 2 เดือน)</t>
  </si>
  <si>
    <t xml:space="preserve"> (5 ปี 10 เดือน)</t>
  </si>
  <si>
    <t>TOU</t>
  </si>
  <si>
    <t>Peak</t>
  </si>
  <si>
    <t>Off Peak</t>
  </si>
  <si>
    <t>บาท</t>
  </si>
  <si>
    <t xml:space="preserve"> (8 ปี)</t>
  </si>
  <si>
    <t>ค่าตอบแทนผู้ลงทุน (83% :8 ปีแรก)(50% : ปีต่อไปนับจากคืนทุน)</t>
  </si>
  <si>
    <t>ค่าดำเนินการ (17% : 8 ปีแรก) (50% : ปีต่อไปนับจากคืนทุนผู้ลงทุน)</t>
  </si>
  <si>
    <t>ยูนิต (คำนวณ วันละ 4 ชม. คิดชม.ละ 4,500 ยูนิต)</t>
  </si>
  <si>
    <t xml:space="preserve"> (7 ปี 6  เดือน)</t>
  </si>
  <si>
    <t xml:space="preserve"> (6 ปี)</t>
  </si>
  <si>
    <t xml:space="preserve"> (5 ปี 11 เดือน)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</si>
  <si>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4,500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</si>
  <si>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</t>
    </r>
    <r>
      <rPr>
        <sz val="10"/>
        <color rgb="FFFF0000"/>
        <rFont val="Tahoma"/>
        <family val="2"/>
      </rPr>
      <t xml:space="preserve"> 5 </t>
    </r>
    <r>
      <rPr>
        <sz val="10"/>
        <rFont val="Tahoma"/>
        <family val="2"/>
      </rPr>
      <t>ชม. คิดชม.ละ</t>
    </r>
    <r>
      <rPr>
        <sz val="10"/>
        <color rgb="FFFF0000"/>
        <rFont val="Tahoma"/>
        <family val="2"/>
      </rPr>
      <t xml:space="preserve"> 4,500</t>
    </r>
    <r>
      <rPr>
        <sz val="10"/>
        <rFont val="Tahoma"/>
        <family val="2"/>
      </rPr>
      <t xml:space="preserve"> ยูนิต)</t>
    </r>
  </si>
  <si>
    <t>ยูนิต (คำนวณ วันละ 5 ชม. คิดชม.ละ 4,500 ยูนิต)</t>
  </si>
  <si>
    <t xml:space="preserve"> (7 ปี )</t>
  </si>
  <si>
    <t>ค่าใช้จ่ายในการบริหาร</t>
  </si>
  <si>
    <t>ภาษี</t>
  </si>
  <si>
    <t xml:space="preserve">ผลตอบแทนการดำเนินงาน 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</si>
  <si>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</si>
  <si>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</si>
  <si>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จ่ายคืนเงินกู้ (เงินกู้ 130 ล้านบาท)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</si>
  <si>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4,300</t>
    </r>
    <r>
      <rPr>
        <sz val="10"/>
        <rFont val="Tahoma"/>
        <family val="2"/>
      </rPr>
      <t xml:space="preserve"> ยูนิต)</t>
    </r>
  </si>
  <si>
    <t>กำไรสุทธิ/ปี</t>
  </si>
  <si>
    <t>กำไรสุทธิ/เดือน</t>
  </si>
  <si>
    <t>กำไรสุทธิ</t>
  </si>
  <si>
    <t>กำไรก่อนหักภาษี</t>
  </si>
  <si>
    <t>ภาษีมูลค่าเพิ่มสะสม</t>
  </si>
  <si>
    <t>สำรองเงินค่าซ่อบำรุงอุปกรณ์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</si>
</sst>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6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166" fontId="5" fillId="0" borderId="0" xfId="4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7" fillId="0" borderId="0" xfId="0" applyFont="1"/>
    <xf numFmtId="165" fontId="7" fillId="0" borderId="0" xfId="1" applyFont="1"/>
    <xf numFmtId="165" fontId="7" fillId="0" borderId="0" xfId="0" applyNumberFormat="1" applyFont="1"/>
    <xf numFmtId="0" fontId="7" fillId="0" borderId="0" xfId="0" applyFont="1" applyAlignment="1">
      <alignment horizontal="center"/>
    </xf>
    <xf numFmtId="165" fontId="8" fillId="0" borderId="0" xfId="0" applyNumberFormat="1" applyFont="1"/>
    <xf numFmtId="165" fontId="9" fillId="0" borderId="0" xfId="0" applyNumberFormat="1" applyFont="1"/>
    <xf numFmtId="0" fontId="10" fillId="2" borderId="0" xfId="0" applyFont="1" applyFill="1"/>
    <xf numFmtId="164" fontId="10" fillId="2" borderId="0" xfId="0" applyNumberFormat="1" applyFont="1" applyFill="1"/>
    <xf numFmtId="10" fontId="10" fillId="2" borderId="0" xfId="2" applyNumberFormat="1" applyFont="1" applyFill="1"/>
    <xf numFmtId="0" fontId="11" fillId="0" borderId="0" xfId="0" applyFont="1"/>
    <xf numFmtId="165" fontId="11" fillId="0" borderId="0" xfId="0" applyNumberFormat="1" applyFont="1"/>
    <xf numFmtId="0" fontId="2" fillId="0" borderId="0" xfId="0" applyFont="1"/>
    <xf numFmtId="165" fontId="12" fillId="0" borderId="0" xfId="0" applyNumberFormat="1" applyFont="1"/>
    <xf numFmtId="2" fontId="0" fillId="0" borderId="0" xfId="0" applyNumberFormat="1"/>
    <xf numFmtId="165" fontId="13" fillId="0" borderId="0" xfId="0" applyNumberFormat="1" applyFont="1"/>
    <xf numFmtId="165" fontId="4" fillId="0" borderId="0" xfId="1" applyFont="1" applyAlignment="1" applyProtection="1">
      <alignment vertical="center"/>
      <protection locked="0"/>
    </xf>
    <xf numFmtId="165" fontId="5" fillId="0" borderId="0" xfId="1" applyFont="1" applyAlignment="1" applyProtection="1">
      <alignment vertical="center"/>
      <protection locked="0"/>
    </xf>
    <xf numFmtId="43" fontId="0" fillId="0" borderId="0" xfId="0" applyNumberFormat="1"/>
    <xf numFmtId="165" fontId="10" fillId="2" borderId="0" xfId="1" applyFont="1" applyFill="1"/>
    <xf numFmtId="0" fontId="15" fillId="0" borderId="0" xfId="0" applyFont="1"/>
    <xf numFmtId="165" fontId="15" fillId="0" borderId="0" xfId="0" applyNumberFormat="1" applyFont="1"/>
    <xf numFmtId="0" fontId="7" fillId="3" borderId="0" xfId="0" applyFont="1" applyFill="1"/>
    <xf numFmtId="165" fontId="9" fillId="3" borderId="0" xfId="0" applyNumberFormat="1" applyFont="1" applyFill="1"/>
    <xf numFmtId="165" fontId="7" fillId="3" borderId="0" xfId="0" applyNumberFormat="1" applyFont="1" applyFill="1"/>
    <xf numFmtId="165" fontId="14" fillId="3" borderId="0" xfId="0" applyNumberFormat="1" applyFont="1" applyFill="1"/>
    <xf numFmtId="0" fontId="16" fillId="0" borderId="0" xfId="3" applyFont="1" applyAlignment="1" applyProtection="1">
      <alignment vertical="center"/>
      <protection locked="0"/>
    </xf>
    <xf numFmtId="0" fontId="17" fillId="0" borderId="0" xfId="3" applyFont="1" applyAlignment="1" applyProtection="1">
      <alignment vertical="center"/>
      <protection locked="0"/>
    </xf>
    <xf numFmtId="0" fontId="17" fillId="4" borderId="0" xfId="3" applyFont="1" applyFill="1" applyAlignment="1" applyProtection="1">
      <alignment vertical="center"/>
      <protection locked="0"/>
    </xf>
    <xf numFmtId="165" fontId="4" fillId="5" borderId="0" xfId="1" applyFont="1" applyFill="1" applyAlignment="1" applyProtection="1">
      <alignment vertical="center"/>
      <protection locked="0"/>
    </xf>
    <xf numFmtId="0" fontId="7" fillId="6" borderId="0" xfId="0" applyFont="1" applyFill="1"/>
    <xf numFmtId="166" fontId="12" fillId="6" borderId="0" xfId="0" applyNumberFormat="1" applyFont="1" applyFill="1"/>
    <xf numFmtId="165" fontId="7" fillId="6" borderId="0" xfId="0" applyNumberFormat="1" applyFont="1" applyFill="1"/>
    <xf numFmtId="0" fontId="18" fillId="0" borderId="0" xfId="0" applyFont="1"/>
    <xf numFmtId="165" fontId="18" fillId="0" borderId="0" xfId="0" applyNumberFormat="1" applyFont="1"/>
    <xf numFmtId="167" fontId="4" fillId="5" borderId="0" xfId="1" applyNumberFormat="1" applyFont="1" applyFill="1" applyAlignment="1" applyProtection="1">
      <alignment vertical="center"/>
      <protection locked="0"/>
    </xf>
    <xf numFmtId="0" fontId="19" fillId="0" borderId="0" xfId="0" applyFont="1"/>
    <xf numFmtId="165" fontId="19" fillId="0" borderId="0" xfId="1" applyFont="1"/>
    <xf numFmtId="165" fontId="19" fillId="0" borderId="0" xfId="0" applyNumberFormat="1" applyFont="1"/>
    <xf numFmtId="165" fontId="20" fillId="0" borderId="0" xfId="0" applyNumberFormat="1" applyFont="1"/>
    <xf numFmtId="43" fontId="22" fillId="7" borderId="0" xfId="0" applyNumberFormat="1" applyFont="1" applyFill="1"/>
    <xf numFmtId="0" fontId="21" fillId="0" borderId="0" xfId="0" applyFont="1"/>
    <xf numFmtId="0" fontId="22" fillId="0" borderId="0" xfId="0" applyFont="1"/>
    <xf numFmtId="0" fontId="23" fillId="0" borderId="0" xfId="0" applyNumberFormat="1" applyFont="1" applyAlignment="1"/>
    <xf numFmtId="165" fontId="8" fillId="7" borderId="0" xfId="0" applyNumberFormat="1" applyFont="1" applyFill="1"/>
    <xf numFmtId="43" fontId="10" fillId="7" borderId="0" xfId="0" applyNumberFormat="1" applyFont="1" applyFill="1"/>
    <xf numFmtId="43" fontId="20" fillId="0" borderId="0" xfId="0" applyNumberFormat="1" applyFont="1"/>
    <xf numFmtId="165" fontId="7" fillId="7" borderId="0" xfId="0" applyNumberFormat="1" applyFont="1" applyFill="1"/>
    <xf numFmtId="165" fontId="21" fillId="0" borderId="0" xfId="1" applyFont="1"/>
    <xf numFmtId="165" fontId="21" fillId="0" borderId="0" xfId="0" applyNumberFormat="1" applyFont="1"/>
    <xf numFmtId="165" fontId="7" fillId="8" borderId="0" xfId="0" applyNumberFormat="1" applyFont="1" applyFill="1"/>
    <xf numFmtId="0" fontId="15" fillId="9" borderId="0" xfId="0" applyFont="1" applyFill="1"/>
    <xf numFmtId="1" fontId="15" fillId="9" borderId="0" xfId="0" applyNumberFormat="1" applyFont="1" applyFill="1" applyAlignment="1">
      <alignment horizontal="center"/>
    </xf>
    <xf numFmtId="43" fontId="24" fillId="9" borderId="0" xfId="0" applyNumberFormat="1" applyFont="1" applyFill="1"/>
    <xf numFmtId="165" fontId="15" fillId="9" borderId="0" xfId="1" applyFont="1" applyFill="1"/>
  </cellXfs>
  <cellStyles count="5">
    <cellStyle name="Comma" xfId="1" builtinId="3"/>
    <cellStyle name="Normal" xfId="0" builtinId="0"/>
    <cellStyle name="Normal_ch19" xfId="3" xr:uid="{00000000-0005-0000-0000-000002000000}"/>
    <cellStyle name="Percent" xfId="2" builtinId="5"/>
    <cellStyle name="เครื่องหมายจุลภาค_EXCEL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'150ล้าน3.7บาท4ชม.'!$A$16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'150ล้าน3.7บาท4ชม.'!$B$15:$V$15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'150ล้าน3.7บาท4ชม.'!$B$16:$V$16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8-4257-B7A3-496E0E55BCDA}"/>
            </c:ext>
          </c:extLst>
        </c:ser>
        <c:ser>
          <c:idx val="1"/>
          <c:order val="1"/>
          <c:tx>
            <c:strRef>
              <c:f>'150ล้าน3.7บาท4ชม.'!$A$17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'150ล้าน3.7บาท4ชม.'!$B$15:$V$15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'150ล้าน3.7บาท4ชม.'!$B$17:$V$17</c:f>
              <c:numCache>
                <c:formatCode>General</c:formatCode>
                <c:ptCount val="21"/>
                <c:pt idx="0">
                  <c:v>0</c:v>
                </c:pt>
                <c:pt idx="1">
                  <c:v>18831372</c:v>
                </c:pt>
                <c:pt idx="2">
                  <c:v>37662744</c:v>
                </c:pt>
                <c:pt idx="3">
                  <c:v>56494116</c:v>
                </c:pt>
                <c:pt idx="4">
                  <c:v>75325488</c:v>
                </c:pt>
                <c:pt idx="5">
                  <c:v>94156860</c:v>
                </c:pt>
                <c:pt idx="6">
                  <c:v>112988232</c:v>
                </c:pt>
                <c:pt idx="7">
                  <c:v>131819604</c:v>
                </c:pt>
                <c:pt idx="8">
                  <c:v>150650976</c:v>
                </c:pt>
                <c:pt idx="9">
                  <c:v>163243038</c:v>
                </c:pt>
                <c:pt idx="10">
                  <c:v>174587238</c:v>
                </c:pt>
                <c:pt idx="11">
                  <c:v>185931438</c:v>
                </c:pt>
                <c:pt idx="12">
                  <c:v>197275638</c:v>
                </c:pt>
                <c:pt idx="13">
                  <c:v>208619838</c:v>
                </c:pt>
                <c:pt idx="14">
                  <c:v>219964038</c:v>
                </c:pt>
                <c:pt idx="15">
                  <c:v>231308238</c:v>
                </c:pt>
                <c:pt idx="16">
                  <c:v>242652438</c:v>
                </c:pt>
                <c:pt idx="17">
                  <c:v>253996638</c:v>
                </c:pt>
                <c:pt idx="18">
                  <c:v>265340838</c:v>
                </c:pt>
                <c:pt idx="19">
                  <c:v>276685038</c:v>
                </c:pt>
                <c:pt idx="20">
                  <c:v>288029238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8-4257-B7A3-496E0E55B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'130ล้าน4พนห้า3.3471บาท 5ชม.N'!$A$26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numRef>
              <c:f>'130ล้าน4พนห้า3.3471บาท 5ชม.N'!$B$25:$V$25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'130ล้าน4พนห้า3.3471บาท 5ชม.N'!$B$26:$V$26</c:f>
              <c:numCache>
                <c:formatCode>_(* #,##0.00_);_(* \(#,##0.00\);_(* "-"??_);_(@_)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D-419F-A73C-BA922CB2D492}"/>
            </c:ext>
          </c:extLst>
        </c:ser>
        <c:ser>
          <c:idx val="1"/>
          <c:order val="1"/>
          <c:tx>
            <c:strRef>
              <c:f>'130ล้าน4พนห้า3.3471บาท 5ชม.N'!$A$27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cat>
            <c:numRef>
              <c:f>'130ล้าน4พนห้า3.3471บาท 5ชม.N'!$B$25:$V$25</c:f>
              <c:numCache>
                <c:formatCode>0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'130ล้าน4พนห้า3.3471บาท 5ชม.N'!$B$27:$V$27</c:f>
              <c:numCache>
                <c:formatCode>_(* #,##0.00_);_(* \(#,##0.00\);_(* "-"??_);_(@_)</c:formatCode>
                <c:ptCount val="21"/>
                <c:pt idx="0" formatCode="General">
                  <c:v>0</c:v>
                </c:pt>
                <c:pt idx="1">
                  <c:v>2055248.93</c:v>
                </c:pt>
                <c:pt idx="2">
                  <c:v>1790248.93</c:v>
                </c:pt>
                <c:pt idx="3">
                  <c:v>1511998.93</c:v>
                </c:pt>
                <c:pt idx="4">
                  <c:v>1219836.43</c:v>
                </c:pt>
                <c:pt idx="5">
                  <c:v>913065.81</c:v>
                </c:pt>
                <c:pt idx="6">
                  <c:v>590956.65</c:v>
                </c:pt>
                <c:pt idx="7">
                  <c:v>252742.03</c:v>
                </c:pt>
                <c:pt idx="8">
                  <c:v>-102383.31</c:v>
                </c:pt>
                <c:pt idx="9">
                  <c:v>-475264.92</c:v>
                </c:pt>
                <c:pt idx="10">
                  <c:v>-866790.61</c:v>
                </c:pt>
                <c:pt idx="11">
                  <c:v>-1277892.5900000001</c:v>
                </c:pt>
                <c:pt idx="12">
                  <c:v>-1709549.67</c:v>
                </c:pt>
                <c:pt idx="13">
                  <c:v>12837210.4</c:v>
                </c:pt>
                <c:pt idx="14">
                  <c:v>12361308.48</c:v>
                </c:pt>
                <c:pt idx="15">
                  <c:v>11861611.449999999</c:v>
                </c:pt>
                <c:pt idx="16">
                  <c:v>11336929.58</c:v>
                </c:pt>
                <c:pt idx="17">
                  <c:v>10786013.609999999</c:v>
                </c:pt>
                <c:pt idx="18">
                  <c:v>10207551.85</c:v>
                </c:pt>
                <c:pt idx="19">
                  <c:v>9600166.9900000002</c:v>
                </c:pt>
                <c:pt idx="20">
                  <c:v>8962412.8900000006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D-419F-A73C-BA922CB2D49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887935"/>
        <c:axId val="1535879775"/>
      </c:lineChart>
      <c:catAx>
        <c:axId val="153588793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5879775"/>
        <c:crosses val="autoZero"/>
        <c:auto val="1"/>
        <c:lblAlgn val="ctr"/>
        <c:lblOffset val="100"/>
        <c:noMultiLvlLbl val="0"/>
      </c:catAx>
      <c:valAx>
        <c:axId val="15358797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53588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ผลตอบแทนผู้ลงทุน5.1!$A$16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ผลตอบแทนผู้ลงทุน5.1!$B$15:$V$15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ผลตอบแทนผู้ลงทุน5.1!$B$16:$V$16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6-4BE1-9797-81CAA16546B8}"/>
            </c:ext>
          </c:extLst>
        </c:ser>
        <c:ser>
          <c:idx val="1"/>
          <c:order val="1"/>
          <c:tx>
            <c:strRef>
              <c:f>ผลตอบแทนผู้ลงทุน5.1!$A$17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ผลตอบแทนผู้ลงทุน5.1!$B$15:$V$15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ผลตอบแทนผู้ลงทุน5.1!$B$17:$V$17</c:f>
              <c:numCache>
                <c:formatCode>General</c:formatCode>
                <c:ptCount val="21"/>
                <c:pt idx="0">
                  <c:v>0</c:v>
                </c:pt>
                <c:pt idx="1">
                  <c:v>25956755.999999996</c:v>
                </c:pt>
                <c:pt idx="2">
                  <c:v>51913511.999999993</c:v>
                </c:pt>
                <c:pt idx="3">
                  <c:v>77870267.999999985</c:v>
                </c:pt>
                <c:pt idx="4">
                  <c:v>103827023.99999999</c:v>
                </c:pt>
                <c:pt idx="5">
                  <c:v>129783779.99999999</c:v>
                </c:pt>
                <c:pt idx="6">
                  <c:v>154020509.99999997</c:v>
                </c:pt>
                <c:pt idx="7">
                  <c:v>169657109.99999997</c:v>
                </c:pt>
                <c:pt idx="8">
                  <c:v>185293709.99999997</c:v>
                </c:pt>
                <c:pt idx="9">
                  <c:v>200930309.99999997</c:v>
                </c:pt>
                <c:pt idx="10">
                  <c:v>216566909.99999997</c:v>
                </c:pt>
                <c:pt idx="11">
                  <c:v>232203509.99999997</c:v>
                </c:pt>
                <c:pt idx="12">
                  <c:v>247840109.99999997</c:v>
                </c:pt>
                <c:pt idx="13">
                  <c:v>263476709.99999997</c:v>
                </c:pt>
                <c:pt idx="14">
                  <c:v>279113309.99999994</c:v>
                </c:pt>
                <c:pt idx="15">
                  <c:v>294749909.99999994</c:v>
                </c:pt>
                <c:pt idx="16">
                  <c:v>310386509.99999994</c:v>
                </c:pt>
                <c:pt idx="17">
                  <c:v>326023109.99999994</c:v>
                </c:pt>
                <c:pt idx="18">
                  <c:v>341659709.99999994</c:v>
                </c:pt>
                <c:pt idx="19">
                  <c:v>357296309.99999994</c:v>
                </c:pt>
                <c:pt idx="20">
                  <c:v>372932909.99999994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6-4BE1-9797-81CAA1654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'130ล้าน3.7บาท4ชม. '!$A$16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'130ล้าน3.7บาท4ชม. 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'130ล้าน3.7บาท4ชม. '!$B$16:$V$16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4-4C0C-B0B3-842CBE7E3559}"/>
            </c:ext>
          </c:extLst>
        </c:ser>
        <c:ser>
          <c:idx val="1"/>
          <c:order val="1"/>
          <c:tx>
            <c:strRef>
              <c:f>'130ล้าน3.7บาท4ชม. '!$A$17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'130ล้าน3.7บาท4ชม. 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'130ล้าน3.7บาท4ชม. '!$B$17:$V$17</c:f>
              <c:numCache>
                <c:formatCode>General</c:formatCode>
                <c:ptCount val="21"/>
                <c:pt idx="0">
                  <c:v>0</c:v>
                </c:pt>
                <c:pt idx="1">
                  <c:v>18831372</c:v>
                </c:pt>
                <c:pt idx="2">
                  <c:v>37662744</c:v>
                </c:pt>
                <c:pt idx="3">
                  <c:v>56494116</c:v>
                </c:pt>
                <c:pt idx="4">
                  <c:v>75325488</c:v>
                </c:pt>
                <c:pt idx="5">
                  <c:v>94156860</c:v>
                </c:pt>
                <c:pt idx="6">
                  <c:v>112988232</c:v>
                </c:pt>
                <c:pt idx="7">
                  <c:v>131819604</c:v>
                </c:pt>
                <c:pt idx="8">
                  <c:v>143163804</c:v>
                </c:pt>
                <c:pt idx="9">
                  <c:v>154508004</c:v>
                </c:pt>
                <c:pt idx="10">
                  <c:v>165852204</c:v>
                </c:pt>
                <c:pt idx="11">
                  <c:v>177196404</c:v>
                </c:pt>
                <c:pt idx="12">
                  <c:v>188540604</c:v>
                </c:pt>
                <c:pt idx="13">
                  <c:v>199884804</c:v>
                </c:pt>
                <c:pt idx="14">
                  <c:v>211229004</c:v>
                </c:pt>
                <c:pt idx="15">
                  <c:v>222573204</c:v>
                </c:pt>
                <c:pt idx="16">
                  <c:v>233917404</c:v>
                </c:pt>
                <c:pt idx="17">
                  <c:v>245261604</c:v>
                </c:pt>
                <c:pt idx="18">
                  <c:v>256605804</c:v>
                </c:pt>
                <c:pt idx="19">
                  <c:v>267950004</c:v>
                </c:pt>
                <c:pt idx="20">
                  <c:v>279294204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4-4C0C-B0B3-842CB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'150ล้าน3.7บาท5ชม.'!$A$16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'150ล้าน3.7บาท5ชม.'!$B$15:$V$15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'150ล้าน3.7บาท5ชม.'!$B$16:$V$16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D-403D-93FE-29CA6AC3B01A}"/>
            </c:ext>
          </c:extLst>
        </c:ser>
        <c:ser>
          <c:idx val="1"/>
          <c:order val="1"/>
          <c:tx>
            <c:strRef>
              <c:f>'150ล้าน3.7บาท5ชม.'!$A$17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'150ล้าน3.7บาท5ชม.'!$B$15:$V$15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'150ล้าน3.7บาท5ชม.'!$B$17:$V$17</c:f>
              <c:numCache>
                <c:formatCode>General</c:formatCode>
                <c:ptCount val="21"/>
                <c:pt idx="0">
                  <c:v>0</c:v>
                </c:pt>
                <c:pt idx="1">
                  <c:v>25220587.5</c:v>
                </c:pt>
                <c:pt idx="2">
                  <c:v>50441175</c:v>
                </c:pt>
                <c:pt idx="3">
                  <c:v>75661762.5</c:v>
                </c:pt>
                <c:pt idx="4">
                  <c:v>100882350</c:v>
                </c:pt>
                <c:pt idx="5">
                  <c:v>126102937.5</c:v>
                </c:pt>
                <c:pt idx="6">
                  <c:v>150487903.125</c:v>
                </c:pt>
                <c:pt idx="7">
                  <c:v>167352271.875</c:v>
                </c:pt>
                <c:pt idx="8">
                  <c:v>184216640.625</c:v>
                </c:pt>
                <c:pt idx="9">
                  <c:v>201081009.375</c:v>
                </c:pt>
                <c:pt idx="10">
                  <c:v>216274134.375</c:v>
                </c:pt>
                <c:pt idx="11">
                  <c:v>231467259.375</c:v>
                </c:pt>
                <c:pt idx="12">
                  <c:v>246660384.375</c:v>
                </c:pt>
                <c:pt idx="13">
                  <c:v>261853509.375</c:v>
                </c:pt>
                <c:pt idx="14">
                  <c:v>277046634.375</c:v>
                </c:pt>
                <c:pt idx="15">
                  <c:v>292239759.375</c:v>
                </c:pt>
                <c:pt idx="16">
                  <c:v>307432884.375</c:v>
                </c:pt>
                <c:pt idx="17">
                  <c:v>322626009.375</c:v>
                </c:pt>
                <c:pt idx="18">
                  <c:v>337819134.375</c:v>
                </c:pt>
                <c:pt idx="19">
                  <c:v>353012259.375</c:v>
                </c:pt>
                <c:pt idx="20">
                  <c:v>368205384.375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D-403D-93FE-29CA6AC3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'130ล้าน3.7บาท5ชม.'!$A$16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'130ล้าน3.7บาท5ชม.'!$B$15:$V$15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'130ล้าน3.7บาท5ชม.'!$B$16:$V$16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05-4BDB-A75E-5F838DD556C9}"/>
            </c:ext>
          </c:extLst>
        </c:ser>
        <c:ser>
          <c:idx val="1"/>
          <c:order val="1"/>
          <c:tx>
            <c:strRef>
              <c:f>'130ล้าน3.7บาท5ชม.'!$A$17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'130ล้าน3.7บาท5ชม.'!$B$15:$V$15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'130ล้าน3.7บาท5ชม.'!$B$17:$V$17</c:f>
              <c:numCache>
                <c:formatCode>General</c:formatCode>
                <c:ptCount val="21"/>
                <c:pt idx="0">
                  <c:v>0</c:v>
                </c:pt>
                <c:pt idx="1">
                  <c:v>25220587.5</c:v>
                </c:pt>
                <c:pt idx="2">
                  <c:v>50441175</c:v>
                </c:pt>
                <c:pt idx="3">
                  <c:v>75661762.5</c:v>
                </c:pt>
                <c:pt idx="4">
                  <c:v>100882350</c:v>
                </c:pt>
                <c:pt idx="5">
                  <c:v>126102937.5</c:v>
                </c:pt>
                <c:pt idx="6">
                  <c:v>142967306.25</c:v>
                </c:pt>
                <c:pt idx="7">
                  <c:v>158160431.25</c:v>
                </c:pt>
                <c:pt idx="8">
                  <c:v>173353556.25</c:v>
                </c:pt>
                <c:pt idx="9">
                  <c:v>188546681.25</c:v>
                </c:pt>
                <c:pt idx="10">
                  <c:v>203739806.25</c:v>
                </c:pt>
                <c:pt idx="11">
                  <c:v>218932931.25</c:v>
                </c:pt>
                <c:pt idx="12">
                  <c:v>234126056.25</c:v>
                </c:pt>
                <c:pt idx="13">
                  <c:v>249319181.25</c:v>
                </c:pt>
                <c:pt idx="14">
                  <c:v>264512306.25</c:v>
                </c:pt>
                <c:pt idx="15">
                  <c:v>279705431.25</c:v>
                </c:pt>
                <c:pt idx="16">
                  <c:v>294898556.25</c:v>
                </c:pt>
                <c:pt idx="17">
                  <c:v>310091681.25</c:v>
                </c:pt>
                <c:pt idx="18">
                  <c:v>325284806.25</c:v>
                </c:pt>
                <c:pt idx="19">
                  <c:v>340477931.25</c:v>
                </c:pt>
                <c:pt idx="20">
                  <c:v>355671056.25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5-4BDB-A75E-5F838DD5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'150ล้าน4200แบ่งเวลา4ชม'!$A$20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'150ล้าน4200แบ่งเวลา4ชม'!$B$19:$V$19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'150ล้าน4200แบ่งเวลา4ชม'!$B$20:$V$20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C8-42C5-8D64-E33C1909E9F4}"/>
            </c:ext>
          </c:extLst>
        </c:ser>
        <c:ser>
          <c:idx val="1"/>
          <c:order val="1"/>
          <c:tx>
            <c:strRef>
              <c:f>'150ล้าน4200แบ่งเวลา4ชม'!$A$21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'150ล้าน4200แบ่งเวลา4ชม'!$B$19:$V$19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'150ล้าน4200แบ่งเวลา4ชม'!$B$21:$V$21</c:f>
              <c:numCache>
                <c:formatCode>General</c:formatCode>
                <c:ptCount val="21"/>
                <c:pt idx="0">
                  <c:v>0</c:v>
                </c:pt>
                <c:pt idx="1">
                  <c:v>18783181.535999998</c:v>
                </c:pt>
                <c:pt idx="2">
                  <c:v>37566363.071999997</c:v>
                </c:pt>
                <c:pt idx="3">
                  <c:v>56349544.607999995</c:v>
                </c:pt>
                <c:pt idx="4">
                  <c:v>75132726.143999994</c:v>
                </c:pt>
                <c:pt idx="5">
                  <c:v>93915907.679999992</c:v>
                </c:pt>
                <c:pt idx="6">
                  <c:v>112699089.21599999</c:v>
                </c:pt>
                <c:pt idx="7">
                  <c:v>131482270.75199999</c:v>
                </c:pt>
                <c:pt idx="8">
                  <c:v>150265452.28799999</c:v>
                </c:pt>
                <c:pt idx="9">
                  <c:v>161580621.88799998</c:v>
                </c:pt>
                <c:pt idx="10">
                  <c:v>172895791.48799998</c:v>
                </c:pt>
                <c:pt idx="11">
                  <c:v>184210961.08799997</c:v>
                </c:pt>
                <c:pt idx="12">
                  <c:v>195526130.68799996</c:v>
                </c:pt>
                <c:pt idx="13">
                  <c:v>206841300.28799996</c:v>
                </c:pt>
                <c:pt idx="14">
                  <c:v>218156469.88799995</c:v>
                </c:pt>
                <c:pt idx="15">
                  <c:v>229471639.48799995</c:v>
                </c:pt>
                <c:pt idx="16">
                  <c:v>240786809.08799994</c:v>
                </c:pt>
                <c:pt idx="17">
                  <c:v>252101978.68799993</c:v>
                </c:pt>
                <c:pt idx="18">
                  <c:v>263417148.28799993</c:v>
                </c:pt>
                <c:pt idx="19">
                  <c:v>274732317.88799995</c:v>
                </c:pt>
                <c:pt idx="20">
                  <c:v>286047487.48799998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8-42C5-8D64-E33C1909E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'150ล้าน4500แบ่งเวลา4ชม'!$A$20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'150ล้าน4500แบ่งเวลา4ชม'!$B$19:$V$19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'150ล้าน4500แบ่งเวลา4ชม'!$B$20:$V$20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9-4C2E-A419-ED8AC264CC4E}"/>
            </c:ext>
          </c:extLst>
        </c:ser>
        <c:ser>
          <c:idx val="1"/>
          <c:order val="1"/>
          <c:tx>
            <c:strRef>
              <c:f>'150ล้าน4500แบ่งเวลา4ชม'!$A$21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'150ล้าน4500แบ่งเวลา4ชม'!$B$19:$V$19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'150ล้าน4500แบ่งเวลา4ชม'!$B$21:$V$21</c:f>
              <c:numCache>
                <c:formatCode>General</c:formatCode>
                <c:ptCount val="21"/>
                <c:pt idx="0">
                  <c:v>0</c:v>
                </c:pt>
                <c:pt idx="1">
                  <c:v>20124837.359999999</c:v>
                </c:pt>
                <c:pt idx="2">
                  <c:v>40249674.719999999</c:v>
                </c:pt>
                <c:pt idx="3">
                  <c:v>60374512.079999998</c:v>
                </c:pt>
                <c:pt idx="4">
                  <c:v>80499349.439999998</c:v>
                </c:pt>
                <c:pt idx="5">
                  <c:v>100624186.8</c:v>
                </c:pt>
                <c:pt idx="6">
                  <c:v>120749024.16</c:v>
                </c:pt>
                <c:pt idx="7">
                  <c:v>140873861.51999998</c:v>
                </c:pt>
                <c:pt idx="8">
                  <c:v>156997978.19999999</c:v>
                </c:pt>
                <c:pt idx="9">
                  <c:v>169121374.19999999</c:v>
                </c:pt>
                <c:pt idx="10">
                  <c:v>181244770.19999999</c:v>
                </c:pt>
                <c:pt idx="11">
                  <c:v>193368166.19999999</c:v>
                </c:pt>
                <c:pt idx="12">
                  <c:v>205491562.19999999</c:v>
                </c:pt>
                <c:pt idx="13">
                  <c:v>217614958.19999999</c:v>
                </c:pt>
                <c:pt idx="14">
                  <c:v>229738354.19999999</c:v>
                </c:pt>
                <c:pt idx="15">
                  <c:v>241861750.19999999</c:v>
                </c:pt>
                <c:pt idx="16">
                  <c:v>253985146.19999999</c:v>
                </c:pt>
                <c:pt idx="17">
                  <c:v>266108542.19999999</c:v>
                </c:pt>
                <c:pt idx="18">
                  <c:v>278231938.19999999</c:v>
                </c:pt>
                <c:pt idx="19">
                  <c:v>290355334.19999999</c:v>
                </c:pt>
                <c:pt idx="20">
                  <c:v>302478730.19999999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9-4C2E-A419-ED8AC264C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'150ล้าน4500แบ่งเวลา5ชม'!$A$20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'150ล้าน4500แบ่งเวลา5ชม'!$B$19:$V$19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'150ล้าน4500แบ่งเวลา5ชม'!$B$20:$V$20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7-41CA-BED2-885C8611A615}"/>
            </c:ext>
          </c:extLst>
        </c:ser>
        <c:ser>
          <c:idx val="1"/>
          <c:order val="1"/>
          <c:tx>
            <c:strRef>
              <c:f>'150ล้าน4500แบ่งเวลา5ชม'!$A$21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'150ล้าน4500แบ่งเวลา5ชม'!$B$19:$V$19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'150ล้าน4500แบ่งเวลา5ชม'!$B$21:$V$21</c:f>
              <c:numCache>
                <c:formatCode>General</c:formatCode>
                <c:ptCount val="21"/>
                <c:pt idx="0">
                  <c:v>0</c:v>
                </c:pt>
                <c:pt idx="1">
                  <c:v>25156046.699999996</c:v>
                </c:pt>
                <c:pt idx="2">
                  <c:v>50312093.399999991</c:v>
                </c:pt>
                <c:pt idx="3">
                  <c:v>75468140.099999994</c:v>
                </c:pt>
                <c:pt idx="4">
                  <c:v>100624186.79999998</c:v>
                </c:pt>
                <c:pt idx="5">
                  <c:v>125780233.49999997</c:v>
                </c:pt>
                <c:pt idx="6">
                  <c:v>150936280.19999996</c:v>
                </c:pt>
                <c:pt idx="7">
                  <c:v>166090525.19999996</c:v>
                </c:pt>
                <c:pt idx="8">
                  <c:v>181244770.19999996</c:v>
                </c:pt>
                <c:pt idx="9">
                  <c:v>196399015.19999996</c:v>
                </c:pt>
                <c:pt idx="10">
                  <c:v>211553260.19999996</c:v>
                </c:pt>
                <c:pt idx="11">
                  <c:v>226707505.19999996</c:v>
                </c:pt>
                <c:pt idx="12">
                  <c:v>241861750.19999996</c:v>
                </c:pt>
                <c:pt idx="13">
                  <c:v>257015995.19999996</c:v>
                </c:pt>
                <c:pt idx="14">
                  <c:v>272170240.19999993</c:v>
                </c:pt>
                <c:pt idx="15">
                  <c:v>287324485.19999993</c:v>
                </c:pt>
                <c:pt idx="16">
                  <c:v>302478730.19999993</c:v>
                </c:pt>
                <c:pt idx="17">
                  <c:v>317632975.19999993</c:v>
                </c:pt>
                <c:pt idx="18">
                  <c:v>332787220.19999993</c:v>
                </c:pt>
                <c:pt idx="19">
                  <c:v>347941465.19999993</c:v>
                </c:pt>
                <c:pt idx="20">
                  <c:v>363095710.19999993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7-41CA-BED2-885C8611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'150ล้าน4พันห้า4.64บาท 5ชม'!$A$20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'150ล้าน4พันห้า4.64บาท 5ชม'!$B$19:$V$19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'150ล้าน4พันห้า4.64บาท 5ชม'!$B$20:$V$20</c:f>
              <c:numCache>
                <c:formatCode>General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21-43C1-BFA5-1C78091EAEB3}"/>
            </c:ext>
          </c:extLst>
        </c:ser>
        <c:ser>
          <c:idx val="1"/>
          <c:order val="1"/>
          <c:tx>
            <c:strRef>
              <c:f>'150ล้าน4พันห้า4.64บาท 5ชม'!$A$21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'150ล้าน4พันห้า4.64บาท 5ชม'!$B$19:$V$19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'150ล้าน4พันห้า4.64บาท 5ชม'!$B$21:$V$21</c:f>
              <c:numCache>
                <c:formatCode>General</c:formatCode>
                <c:ptCount val="21"/>
                <c:pt idx="0">
                  <c:v>0</c:v>
                </c:pt>
                <c:pt idx="1">
                  <c:v>25486818.299999997</c:v>
                </c:pt>
                <c:pt idx="2">
                  <c:v>50973636.599999994</c:v>
                </c:pt>
                <c:pt idx="3">
                  <c:v>76460454.899999991</c:v>
                </c:pt>
                <c:pt idx="4">
                  <c:v>101947273.19999999</c:v>
                </c:pt>
                <c:pt idx="5">
                  <c:v>127434091.49999999</c:v>
                </c:pt>
                <c:pt idx="6">
                  <c:v>152076467.02499998</c:v>
                </c:pt>
                <c:pt idx="7">
                  <c:v>167429972.02499998</c:v>
                </c:pt>
                <c:pt idx="8">
                  <c:v>182783477.02499998</c:v>
                </c:pt>
                <c:pt idx="9">
                  <c:v>198136982.02499998</c:v>
                </c:pt>
                <c:pt idx="10">
                  <c:v>213490487.02499998</c:v>
                </c:pt>
                <c:pt idx="11">
                  <c:v>228843992.02499998</c:v>
                </c:pt>
                <c:pt idx="12">
                  <c:v>244197497.02499998</c:v>
                </c:pt>
                <c:pt idx="13">
                  <c:v>259551002.02499998</c:v>
                </c:pt>
                <c:pt idx="14">
                  <c:v>274904507.02499998</c:v>
                </c:pt>
                <c:pt idx="15">
                  <c:v>290258012.02499998</c:v>
                </c:pt>
                <c:pt idx="16">
                  <c:v>305611517.02499998</c:v>
                </c:pt>
                <c:pt idx="17">
                  <c:v>320965022.02499998</c:v>
                </c:pt>
                <c:pt idx="18">
                  <c:v>336318527.02499998</c:v>
                </c:pt>
                <c:pt idx="19">
                  <c:v>351672032.02499998</c:v>
                </c:pt>
                <c:pt idx="20">
                  <c:v>367025537.02499998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1-43C1-BFA5-1C78091EA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เปรียบเทียบผลตอบแทนการลงทุน</a:t>
            </a:r>
            <a:endParaRPr lang="en-US"/>
          </a:p>
        </c:rich>
      </c:tx>
      <c:layout>
        <c:manualLayout>
          <c:xMode val="edge"/>
          <c:yMode val="edge"/>
          <c:x val="0.37816434724983433"/>
          <c:y val="2.928301517273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'130ล้าน4พนห้า4.64บาท 5ชม '!$A$20</c:f>
              <c:strCache>
                <c:ptCount val="1"/>
                <c:pt idx="0">
                  <c:v>ลงทุน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'130ล้าน4พนห้า4.64บาท 5ชม 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'130ล้าน4พนห้า4.64บาท 5ชม '!$B$20:$V$20</c:f>
              <c:numCache>
                <c:formatCode>_(* #,##0.00_);_(* \(#,##0.00\);_(* "-"??_);_(@_)</c:formatCode>
                <c:ptCount val="21"/>
                <c:pt idx="0">
                  <c:v>150000000</c:v>
                </c:pt>
                <c:pt idx="1">
                  <c:v>150000000</c:v>
                </c:pt>
                <c:pt idx="2">
                  <c:v>150000000</c:v>
                </c:pt>
                <c:pt idx="3">
                  <c:v>150000000</c:v>
                </c:pt>
                <c:pt idx="4">
                  <c:v>150000000</c:v>
                </c:pt>
                <c:pt idx="5">
                  <c:v>150000000</c:v>
                </c:pt>
                <c:pt idx="6">
                  <c:v>150000000</c:v>
                </c:pt>
                <c:pt idx="7">
                  <c:v>150000000</c:v>
                </c:pt>
                <c:pt idx="8">
                  <c:v>150000000</c:v>
                </c:pt>
                <c:pt idx="9">
                  <c:v>150000000</c:v>
                </c:pt>
                <c:pt idx="10">
                  <c:v>150000000</c:v>
                </c:pt>
                <c:pt idx="11">
                  <c:v>150000000</c:v>
                </c:pt>
                <c:pt idx="12">
                  <c:v>150000000</c:v>
                </c:pt>
                <c:pt idx="13">
                  <c:v>150000000</c:v>
                </c:pt>
                <c:pt idx="14">
                  <c:v>150000000</c:v>
                </c:pt>
                <c:pt idx="15">
                  <c:v>150000000</c:v>
                </c:pt>
                <c:pt idx="16">
                  <c:v>150000000</c:v>
                </c:pt>
                <c:pt idx="17">
                  <c:v>150000000</c:v>
                </c:pt>
                <c:pt idx="18">
                  <c:v>150000000</c:v>
                </c:pt>
                <c:pt idx="19">
                  <c:v>150000000</c:v>
                </c:pt>
                <c:pt idx="20">
                  <c:v>150000000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E-46F7-BDF6-2BDA5DCFABAC}"/>
            </c:ext>
          </c:extLst>
        </c:ser>
        <c:ser>
          <c:idx val="1"/>
          <c:order val="1"/>
          <c:tx>
            <c:strRef>
              <c:f>'130ล้าน4พนห้า4.64บาท 5ชม '!$A$21</c:f>
              <c:strCache>
                <c:ptCount val="1"/>
                <c:pt idx="0">
                  <c:v>รายได้สะสม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'130ล้าน4พนห้า4.64บาท 5ชม '!$B$19:$V$19</c:f>
              <c:strCache>
                <c:ptCount val="21"/>
                <c:pt idx="0">
                  <c:v> ปีที่ 0 </c:v>
                </c:pt>
                <c:pt idx="1">
                  <c:v> ปีที่ 1 </c:v>
                </c:pt>
                <c:pt idx="2">
                  <c:v> ปีที่ 2 </c:v>
                </c:pt>
                <c:pt idx="3">
                  <c:v> ปีที่ 3 </c:v>
                </c:pt>
                <c:pt idx="4">
                  <c:v> ปีที่ 4 </c:v>
                </c:pt>
                <c:pt idx="5">
                  <c:v> ปีที่ 5 </c:v>
                </c:pt>
                <c:pt idx="6">
                  <c:v> ปีที่ 6 </c:v>
                </c:pt>
                <c:pt idx="7">
                  <c:v> ปีที่ 7 </c:v>
                </c:pt>
                <c:pt idx="8">
                  <c:v> ปีที่ 8 </c:v>
                </c:pt>
                <c:pt idx="9">
                  <c:v> ปีที่ 9 </c:v>
                </c:pt>
                <c:pt idx="10">
                  <c:v> ปีที่ 10 </c:v>
                </c:pt>
                <c:pt idx="11">
                  <c:v> ปีที่ 11 </c:v>
                </c:pt>
                <c:pt idx="12">
                  <c:v> ปีที่ 12 </c:v>
                </c:pt>
                <c:pt idx="13">
                  <c:v> ปีที่ 13 </c:v>
                </c:pt>
                <c:pt idx="14">
                  <c:v> ปีที่ 14 </c:v>
                </c:pt>
                <c:pt idx="15">
                  <c:v> ปีที่ 15 </c:v>
                </c:pt>
                <c:pt idx="16">
                  <c:v> ปีที่ 16 </c:v>
                </c:pt>
                <c:pt idx="17">
                  <c:v> ปีที่ 17 </c:v>
                </c:pt>
                <c:pt idx="18">
                  <c:v> ปีที่ 18 </c:v>
                </c:pt>
                <c:pt idx="19">
                  <c:v> ปีที่ 19 </c:v>
                </c:pt>
                <c:pt idx="20">
                  <c:v> ปีที่ 20 </c:v>
                </c:pt>
              </c:strCache>
            </c:strRef>
          </c:cat>
          <c:val>
            <c:numRef>
              <c:f>'130ล้าน4พนห้า4.64บาท 5ชม '!$B$21:$V$21</c:f>
              <c:numCache>
                <c:formatCode>_(* #,##0.00_);_(* \(#,##0.00\);_(* "-"??_);_(@_)</c:formatCode>
                <c:ptCount val="21"/>
                <c:pt idx="0" formatCode="General">
                  <c:v>0</c:v>
                </c:pt>
                <c:pt idx="1">
                  <c:v>25486818.299999997</c:v>
                </c:pt>
                <c:pt idx="2">
                  <c:v>50973636.599999994</c:v>
                </c:pt>
                <c:pt idx="3">
                  <c:v>76460454.899999991</c:v>
                </c:pt>
                <c:pt idx="4">
                  <c:v>101947273.19999999</c:v>
                </c:pt>
                <c:pt idx="5">
                  <c:v>127434091.49999999</c:v>
                </c:pt>
                <c:pt idx="6">
                  <c:v>144476482.04999998</c:v>
                </c:pt>
                <c:pt idx="7">
                  <c:v>159829987.04999998</c:v>
                </c:pt>
                <c:pt idx="8">
                  <c:v>175183492.04999998</c:v>
                </c:pt>
                <c:pt idx="9">
                  <c:v>190536997.04999998</c:v>
                </c:pt>
                <c:pt idx="10">
                  <c:v>205890502.04999998</c:v>
                </c:pt>
                <c:pt idx="11">
                  <c:v>221244007.04999998</c:v>
                </c:pt>
                <c:pt idx="12">
                  <c:v>236597512.04999998</c:v>
                </c:pt>
                <c:pt idx="13">
                  <c:v>251951017.04999998</c:v>
                </c:pt>
                <c:pt idx="14">
                  <c:v>267304522.04999998</c:v>
                </c:pt>
                <c:pt idx="15">
                  <c:v>282658027.04999995</c:v>
                </c:pt>
                <c:pt idx="16">
                  <c:v>298011532.04999995</c:v>
                </c:pt>
                <c:pt idx="17">
                  <c:v>313365037.04999995</c:v>
                </c:pt>
                <c:pt idx="18">
                  <c:v>328718542.04999995</c:v>
                </c:pt>
                <c:pt idx="19">
                  <c:v>344072047.04999995</c:v>
                </c:pt>
                <c:pt idx="20">
                  <c:v>359425552.04999995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E-46F7-BDF6-2BDA5DCFA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43696"/>
        <c:axId val="455545664"/>
      </c:lineChart>
      <c:catAx>
        <c:axId val="4555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5664"/>
        <c:crosses val="autoZero"/>
        <c:auto val="1"/>
        <c:lblAlgn val="ctr"/>
        <c:lblOffset val="100"/>
        <c:noMultiLvlLbl val="0"/>
      </c:catAx>
      <c:valAx>
        <c:axId val="455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54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25</xdr:row>
      <xdr:rowOff>41910</xdr:rowOff>
    </xdr:from>
    <xdr:to>
      <xdr:col>6</xdr:col>
      <xdr:colOff>68580</xdr:colOff>
      <xdr:row>56</xdr:row>
      <xdr:rowOff>91440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1108362</xdr:colOff>
      <xdr:row>27</xdr:row>
      <xdr:rowOff>125460</xdr:rowOff>
    </xdr:from>
    <xdr:to>
      <xdr:col>11</xdr:col>
      <xdr:colOff>600364</xdr:colOff>
      <xdr:row>53</xdr:row>
      <xdr:rowOff>61577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1F7C4F-04F9-EF1C-FCF7-8ACC17CE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25</xdr:row>
      <xdr:rowOff>41910</xdr:rowOff>
    </xdr:from>
    <xdr:to>
      <xdr:col>6</xdr:col>
      <xdr:colOff>68580</xdr:colOff>
      <xdr:row>56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25</xdr:row>
      <xdr:rowOff>41910</xdr:rowOff>
    </xdr:from>
    <xdr:to>
      <xdr:col>6</xdr:col>
      <xdr:colOff>68580</xdr:colOff>
      <xdr:row>56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25</xdr:row>
      <xdr:rowOff>41910</xdr:rowOff>
    </xdr:from>
    <xdr:to>
      <xdr:col>6</xdr:col>
      <xdr:colOff>68580</xdr:colOff>
      <xdr:row>56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25</xdr:row>
      <xdr:rowOff>41910</xdr:rowOff>
    </xdr:from>
    <xdr:to>
      <xdr:col>6</xdr:col>
      <xdr:colOff>68580</xdr:colOff>
      <xdr:row>56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29</xdr:row>
      <xdr:rowOff>41910</xdr:rowOff>
    </xdr:from>
    <xdr:to>
      <xdr:col>6</xdr:col>
      <xdr:colOff>68580</xdr:colOff>
      <xdr:row>60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29</xdr:row>
      <xdr:rowOff>41910</xdr:rowOff>
    </xdr:from>
    <xdr:to>
      <xdr:col>6</xdr:col>
      <xdr:colOff>68580</xdr:colOff>
      <xdr:row>60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29</xdr:row>
      <xdr:rowOff>41910</xdr:rowOff>
    </xdr:from>
    <xdr:to>
      <xdr:col>6</xdr:col>
      <xdr:colOff>68580</xdr:colOff>
      <xdr:row>60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29</xdr:row>
      <xdr:rowOff>41910</xdr:rowOff>
    </xdr:from>
    <xdr:to>
      <xdr:col>6</xdr:col>
      <xdr:colOff>68580</xdr:colOff>
      <xdr:row>60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29</xdr:row>
      <xdr:rowOff>41910</xdr:rowOff>
    </xdr:from>
    <xdr:to>
      <xdr:col>6</xdr:col>
      <xdr:colOff>68580</xdr:colOff>
      <xdr:row>60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zoomScale="104" workbookViewId="0"/>
  </sheetViews>
  <sheetFormatPr defaultRowHeight="14.4" x14ac:dyDescent="0.3"/>
  <cols>
    <col min="1" max="1" width="53.6640625" bestFit="1" customWidth="1"/>
    <col min="2" max="2" width="18.21875" customWidth="1"/>
    <col min="3" max="3" width="14.77734375" customWidth="1"/>
    <col min="4" max="4" width="16" bestFit="1" customWidth="1"/>
    <col min="5" max="22" width="15.33203125" bestFit="1" customWidth="1"/>
    <col min="23" max="23" width="16.33203125" bestFit="1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4200*4</f>
        <v>16800</v>
      </c>
      <c r="C2" s="1" t="s">
        <v>54</v>
      </c>
      <c r="D2" s="1"/>
    </row>
    <row r="3" spans="1:23" x14ac:dyDescent="0.3">
      <c r="A3" s="3" t="s">
        <v>55</v>
      </c>
      <c r="B3" s="3">
        <v>365</v>
      </c>
      <c r="C3" s="1" t="s">
        <v>3</v>
      </c>
      <c r="D3" s="1"/>
    </row>
    <row r="4" spans="1:23" x14ac:dyDescent="0.3">
      <c r="A4" s="1" t="s">
        <v>6</v>
      </c>
      <c r="B4" s="22">
        <v>3.7</v>
      </c>
      <c r="C4" s="1" t="s">
        <v>56</v>
      </c>
      <c r="D4" s="1"/>
    </row>
    <row r="6" spans="1:23" s="6" customFormat="1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 t="s">
        <v>23</v>
      </c>
      <c r="O6" s="6" t="s">
        <v>24</v>
      </c>
      <c r="P6" s="6" t="s">
        <v>25</v>
      </c>
      <c r="Q6" s="6" t="s">
        <v>26</v>
      </c>
      <c r="R6" s="6" t="s">
        <v>27</v>
      </c>
      <c r="S6" s="6" t="s">
        <v>28</v>
      </c>
      <c r="T6" s="6" t="s">
        <v>29</v>
      </c>
      <c r="U6" s="6" t="s">
        <v>30</v>
      </c>
      <c r="V6" s="6" t="s">
        <v>31</v>
      </c>
    </row>
    <row r="7" spans="1:23" x14ac:dyDescent="0.3">
      <c r="A7" t="s">
        <v>33</v>
      </c>
    </row>
    <row r="8" spans="1:23" x14ac:dyDescent="0.3">
      <c r="A8" s="7" t="s">
        <v>34</v>
      </c>
      <c r="B8" s="8">
        <v>0</v>
      </c>
      <c r="C8" s="8">
        <f>($B$2*$B$3*$B$4)</f>
        <v>22688400</v>
      </c>
      <c r="D8" s="8">
        <f t="shared" ref="D8:V8" si="0">($B$2*$B$3*$B$4)</f>
        <v>22688400</v>
      </c>
      <c r="E8" s="8">
        <f t="shared" si="0"/>
        <v>22688400</v>
      </c>
      <c r="F8" s="8">
        <f t="shared" si="0"/>
        <v>22688400</v>
      </c>
      <c r="G8" s="8">
        <f t="shared" si="0"/>
        <v>22688400</v>
      </c>
      <c r="H8" s="8">
        <f t="shared" si="0"/>
        <v>22688400</v>
      </c>
      <c r="I8" s="8">
        <f t="shared" si="0"/>
        <v>22688400</v>
      </c>
      <c r="J8" s="8">
        <f t="shared" si="0"/>
        <v>22688400</v>
      </c>
      <c r="K8" s="8">
        <f t="shared" si="0"/>
        <v>22688400</v>
      </c>
      <c r="L8" s="8">
        <f t="shared" si="0"/>
        <v>22688400</v>
      </c>
      <c r="M8" s="8">
        <f t="shared" si="0"/>
        <v>22688400</v>
      </c>
      <c r="N8" s="8">
        <f t="shared" si="0"/>
        <v>22688400</v>
      </c>
      <c r="O8" s="8">
        <f t="shared" si="0"/>
        <v>22688400</v>
      </c>
      <c r="P8" s="8">
        <f t="shared" si="0"/>
        <v>22688400</v>
      </c>
      <c r="Q8" s="8">
        <f t="shared" si="0"/>
        <v>22688400</v>
      </c>
      <c r="R8" s="8">
        <f t="shared" si="0"/>
        <v>22688400</v>
      </c>
      <c r="S8" s="8">
        <f t="shared" si="0"/>
        <v>22688400</v>
      </c>
      <c r="T8" s="8">
        <f t="shared" si="0"/>
        <v>22688400</v>
      </c>
      <c r="U8" s="8">
        <f t="shared" si="0"/>
        <v>22688400</v>
      </c>
      <c r="V8" s="8">
        <f t="shared" si="0"/>
        <v>22688400</v>
      </c>
      <c r="W8" s="11">
        <f>SUM(B8:V8)</f>
        <v>453768000</v>
      </c>
    </row>
    <row r="9" spans="1:23" s="6" customFormat="1" x14ac:dyDescent="0.3">
      <c r="A9" s="7" t="s">
        <v>39</v>
      </c>
      <c r="B9" s="8">
        <v>150000000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f t="shared" ref="W9:W10" si="1">SUM(B9:V9)</f>
        <v>150000000</v>
      </c>
    </row>
    <row r="10" spans="1:23" x14ac:dyDescent="0.3">
      <c r="A10" t="s">
        <v>32</v>
      </c>
      <c r="W10" s="11">
        <f t="shared" si="1"/>
        <v>0</v>
      </c>
    </row>
    <row r="11" spans="1:23" s="7" customFormat="1" x14ac:dyDescent="0.3">
      <c r="A11" s="7" t="s">
        <v>44</v>
      </c>
      <c r="B11" s="12">
        <f>B9</f>
        <v>150000000</v>
      </c>
      <c r="C11" s="9">
        <f>C8*17%</f>
        <v>3857028.0000000005</v>
      </c>
      <c r="D11" s="9">
        <f t="shared" ref="D11:J11" si="2">D8*17%</f>
        <v>3857028.0000000005</v>
      </c>
      <c r="E11" s="9">
        <f t="shared" si="2"/>
        <v>3857028.0000000005</v>
      </c>
      <c r="F11" s="9">
        <f t="shared" si="2"/>
        <v>3857028.0000000005</v>
      </c>
      <c r="G11" s="9">
        <f t="shared" si="2"/>
        <v>3857028.0000000005</v>
      </c>
      <c r="H11" s="9">
        <f t="shared" si="2"/>
        <v>3857028.0000000005</v>
      </c>
      <c r="I11" s="9">
        <f t="shared" si="2"/>
        <v>3857028.0000000005</v>
      </c>
      <c r="J11" s="9">
        <f t="shared" si="2"/>
        <v>3857028.0000000005</v>
      </c>
      <c r="K11" s="9">
        <f>((K8/12*17%)*2)+((K8/12*50%)*10)</f>
        <v>10096338</v>
      </c>
      <c r="L11" s="9">
        <f t="shared" ref="L11:U11" si="3">L8*50%</f>
        <v>11344200</v>
      </c>
      <c r="M11" s="9">
        <f t="shared" si="3"/>
        <v>11344200</v>
      </c>
      <c r="N11" s="9">
        <f t="shared" si="3"/>
        <v>11344200</v>
      </c>
      <c r="O11" s="9">
        <f t="shared" si="3"/>
        <v>11344200</v>
      </c>
      <c r="P11" s="9">
        <f t="shared" si="3"/>
        <v>11344200</v>
      </c>
      <c r="Q11" s="9">
        <f t="shared" si="3"/>
        <v>11344200</v>
      </c>
      <c r="R11" s="9">
        <f t="shared" si="3"/>
        <v>11344200</v>
      </c>
      <c r="S11" s="9">
        <f t="shared" si="3"/>
        <v>11344200</v>
      </c>
      <c r="T11" s="9">
        <f t="shared" si="3"/>
        <v>11344200</v>
      </c>
      <c r="U11" s="9">
        <f t="shared" si="3"/>
        <v>11344200</v>
      </c>
      <c r="V11" s="9">
        <f>V8*50%</f>
        <v>11344200</v>
      </c>
      <c r="W11" s="11">
        <f>SUM(C11:V11)</f>
        <v>165738762</v>
      </c>
    </row>
    <row r="12" spans="1:23" s="7" customFormat="1" x14ac:dyDescent="0.3">
      <c r="A12" s="7" t="s">
        <v>38</v>
      </c>
      <c r="B12" s="19">
        <v>20000000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>SUM(B12:V12)</f>
        <v>20000000</v>
      </c>
    </row>
    <row r="13" spans="1:23" s="7" customFormat="1" x14ac:dyDescent="0.3">
      <c r="A13" s="7" t="s">
        <v>43</v>
      </c>
      <c r="B13" s="8">
        <f>B8*40%</f>
        <v>0</v>
      </c>
      <c r="C13" s="9">
        <f>C8*83%</f>
        <v>18831372</v>
      </c>
      <c r="D13" s="9">
        <f t="shared" ref="D13:J13" si="4">D8*83%</f>
        <v>18831372</v>
      </c>
      <c r="E13" s="9">
        <f t="shared" si="4"/>
        <v>18831372</v>
      </c>
      <c r="F13" s="9">
        <f t="shared" si="4"/>
        <v>18831372</v>
      </c>
      <c r="G13" s="9">
        <f t="shared" si="4"/>
        <v>18831372</v>
      </c>
      <c r="H13" s="9">
        <f t="shared" si="4"/>
        <v>18831372</v>
      </c>
      <c r="I13" s="9">
        <f t="shared" si="4"/>
        <v>18831372</v>
      </c>
      <c r="J13" s="9">
        <f t="shared" si="4"/>
        <v>18831372</v>
      </c>
      <c r="K13" s="9">
        <f>((K8/12*83%)*2)+((K8/12*50%)*10)</f>
        <v>12592062</v>
      </c>
      <c r="L13" s="9">
        <f t="shared" ref="L13:V13" si="5">L8*50%</f>
        <v>11344200</v>
      </c>
      <c r="M13" s="9">
        <f t="shared" si="5"/>
        <v>11344200</v>
      </c>
      <c r="N13" s="9">
        <f t="shared" si="5"/>
        <v>11344200</v>
      </c>
      <c r="O13" s="9">
        <f t="shared" si="5"/>
        <v>11344200</v>
      </c>
      <c r="P13" s="9">
        <f t="shared" si="5"/>
        <v>11344200</v>
      </c>
      <c r="Q13" s="9">
        <f t="shared" si="5"/>
        <v>11344200</v>
      </c>
      <c r="R13" s="9">
        <f t="shared" si="5"/>
        <v>11344200</v>
      </c>
      <c r="S13" s="9">
        <f t="shared" si="5"/>
        <v>11344200</v>
      </c>
      <c r="T13" s="9">
        <f t="shared" si="5"/>
        <v>11344200</v>
      </c>
      <c r="U13" s="9">
        <f t="shared" si="5"/>
        <v>11344200</v>
      </c>
      <c r="V13" s="9">
        <f t="shared" si="5"/>
        <v>11344200</v>
      </c>
      <c r="W13" s="21">
        <f>SUM(C13:V13)</f>
        <v>288029238</v>
      </c>
    </row>
    <row r="14" spans="1:23" s="26" customFormat="1" x14ac:dyDescent="0.3">
      <c r="B14" s="27">
        <f>B13-B9</f>
        <v>-150000000</v>
      </c>
      <c r="C14" s="27">
        <f t="shared" ref="C14:V14" si="6">C13-C9</f>
        <v>18831372</v>
      </c>
      <c r="D14" s="27">
        <f t="shared" si="6"/>
        <v>18831372</v>
      </c>
      <c r="E14" s="27">
        <f t="shared" si="6"/>
        <v>18831372</v>
      </c>
      <c r="F14" s="27">
        <f t="shared" si="6"/>
        <v>18831372</v>
      </c>
      <c r="G14" s="27">
        <f t="shared" si="6"/>
        <v>18831372</v>
      </c>
      <c r="H14" s="27">
        <f t="shared" si="6"/>
        <v>18831372</v>
      </c>
      <c r="I14" s="27">
        <f t="shared" si="6"/>
        <v>18831372</v>
      </c>
      <c r="J14" s="27">
        <f t="shared" si="6"/>
        <v>18831372</v>
      </c>
      <c r="K14" s="27">
        <f t="shared" si="6"/>
        <v>12592062</v>
      </c>
      <c r="L14" s="27">
        <f t="shared" si="6"/>
        <v>11344200</v>
      </c>
      <c r="M14" s="27">
        <f t="shared" si="6"/>
        <v>11344200</v>
      </c>
      <c r="N14" s="27">
        <f t="shared" si="6"/>
        <v>11344200</v>
      </c>
      <c r="O14" s="27">
        <f t="shared" si="6"/>
        <v>11344200</v>
      </c>
      <c r="P14" s="27">
        <f t="shared" si="6"/>
        <v>11344200</v>
      </c>
      <c r="Q14" s="27">
        <f t="shared" si="6"/>
        <v>11344200</v>
      </c>
      <c r="R14" s="27">
        <f t="shared" si="6"/>
        <v>11344200</v>
      </c>
      <c r="S14" s="27">
        <f t="shared" si="6"/>
        <v>11344200</v>
      </c>
      <c r="T14" s="27">
        <f t="shared" si="6"/>
        <v>11344200</v>
      </c>
      <c r="U14" s="27">
        <f t="shared" si="6"/>
        <v>11344200</v>
      </c>
      <c r="V14" s="27">
        <f t="shared" si="6"/>
        <v>11344200</v>
      </c>
    </row>
    <row r="15" spans="1:23" s="26" customFormat="1" x14ac:dyDescent="0.3">
      <c r="A15" s="26" t="s">
        <v>10</v>
      </c>
      <c r="B15" s="27" t="s">
        <v>11</v>
      </c>
      <c r="C15" s="27" t="s">
        <v>12</v>
      </c>
      <c r="D15" s="27" t="s">
        <v>13</v>
      </c>
      <c r="E15" s="27" t="s">
        <v>14</v>
      </c>
      <c r="F15" s="27" t="s">
        <v>15</v>
      </c>
      <c r="G15" s="27" t="s">
        <v>16</v>
      </c>
      <c r="H15" s="27" t="s">
        <v>17</v>
      </c>
      <c r="I15" s="27" t="s">
        <v>18</v>
      </c>
      <c r="J15" s="27" t="s">
        <v>19</v>
      </c>
      <c r="K15" s="27" t="s">
        <v>20</v>
      </c>
      <c r="L15" s="27" t="s">
        <v>21</v>
      </c>
      <c r="M15" s="27" t="s">
        <v>22</v>
      </c>
      <c r="N15" s="27" t="s">
        <v>23</v>
      </c>
      <c r="O15" s="27" t="s">
        <v>24</v>
      </c>
      <c r="P15" s="27" t="s">
        <v>25</v>
      </c>
      <c r="Q15" s="27" t="s">
        <v>26</v>
      </c>
      <c r="R15" s="27" t="s">
        <v>27</v>
      </c>
      <c r="S15" s="27" t="s">
        <v>28</v>
      </c>
      <c r="T15" s="27" t="s">
        <v>29</v>
      </c>
      <c r="U15" s="27" t="s">
        <v>30</v>
      </c>
      <c r="V15" s="27" t="s">
        <v>31</v>
      </c>
    </row>
    <row r="16" spans="1:23" s="26" customFormat="1" x14ac:dyDescent="0.3">
      <c r="A16" s="26" t="s">
        <v>53</v>
      </c>
      <c r="B16" s="26">
        <v>150000000</v>
      </c>
      <c r="C16" s="26">
        <f>0+B16</f>
        <v>150000000</v>
      </c>
      <c r="D16" s="26">
        <f t="shared" ref="D16:V16" si="7">0+C16</f>
        <v>150000000</v>
      </c>
      <c r="E16" s="26">
        <f t="shared" si="7"/>
        <v>150000000</v>
      </c>
      <c r="F16" s="26">
        <f t="shared" si="7"/>
        <v>150000000</v>
      </c>
      <c r="G16" s="26">
        <f t="shared" si="7"/>
        <v>150000000</v>
      </c>
      <c r="H16" s="26">
        <f t="shared" si="7"/>
        <v>150000000</v>
      </c>
      <c r="I16" s="26">
        <f t="shared" si="7"/>
        <v>150000000</v>
      </c>
      <c r="J16" s="26">
        <f t="shared" si="7"/>
        <v>150000000</v>
      </c>
      <c r="K16" s="26">
        <f t="shared" si="7"/>
        <v>150000000</v>
      </c>
      <c r="L16" s="26">
        <f t="shared" si="7"/>
        <v>150000000</v>
      </c>
      <c r="M16" s="26">
        <f t="shared" si="7"/>
        <v>150000000</v>
      </c>
      <c r="N16" s="26">
        <f t="shared" si="7"/>
        <v>150000000</v>
      </c>
      <c r="O16" s="26">
        <f t="shared" si="7"/>
        <v>150000000</v>
      </c>
      <c r="P16" s="26">
        <f t="shared" si="7"/>
        <v>150000000</v>
      </c>
      <c r="Q16" s="26">
        <f t="shared" si="7"/>
        <v>150000000</v>
      </c>
      <c r="R16" s="26">
        <f t="shared" si="7"/>
        <v>150000000</v>
      </c>
      <c r="S16" s="26">
        <f t="shared" si="7"/>
        <v>150000000</v>
      </c>
      <c r="T16" s="26">
        <f t="shared" si="7"/>
        <v>150000000</v>
      </c>
      <c r="U16" s="26">
        <f t="shared" si="7"/>
        <v>150000000</v>
      </c>
      <c r="V16" s="26">
        <f t="shared" si="7"/>
        <v>150000000</v>
      </c>
    </row>
    <row r="17" spans="1:22" s="26" customFormat="1" x14ac:dyDescent="0.3">
      <c r="A17" s="26" t="s">
        <v>52</v>
      </c>
      <c r="B17" s="26">
        <v>0</v>
      </c>
      <c r="C17" s="26">
        <f>C14</f>
        <v>18831372</v>
      </c>
      <c r="D17" s="26">
        <f t="shared" ref="D17:V17" si="8">C17+D14</f>
        <v>37662744</v>
      </c>
      <c r="E17" s="26">
        <f t="shared" si="8"/>
        <v>56494116</v>
      </c>
      <c r="F17" s="26">
        <f t="shared" si="8"/>
        <v>75325488</v>
      </c>
      <c r="G17" s="26">
        <f t="shared" si="8"/>
        <v>94156860</v>
      </c>
      <c r="H17" s="26">
        <f t="shared" si="8"/>
        <v>112988232</v>
      </c>
      <c r="I17" s="26">
        <f t="shared" si="8"/>
        <v>131819604</v>
      </c>
      <c r="J17" s="26">
        <f t="shared" si="8"/>
        <v>150650976</v>
      </c>
      <c r="K17" s="26">
        <f t="shared" si="8"/>
        <v>163243038</v>
      </c>
      <c r="L17" s="26">
        <f t="shared" si="8"/>
        <v>174587238</v>
      </c>
      <c r="M17" s="26">
        <f t="shared" si="8"/>
        <v>185931438</v>
      </c>
      <c r="N17" s="26">
        <f t="shared" si="8"/>
        <v>197275638</v>
      </c>
      <c r="O17" s="26">
        <f t="shared" si="8"/>
        <v>208619838</v>
      </c>
      <c r="P17" s="26">
        <f t="shared" si="8"/>
        <v>219964038</v>
      </c>
      <c r="Q17" s="26">
        <f t="shared" si="8"/>
        <v>231308238</v>
      </c>
      <c r="R17" s="26">
        <f t="shared" si="8"/>
        <v>242652438</v>
      </c>
      <c r="S17" s="26">
        <f t="shared" si="8"/>
        <v>253996638</v>
      </c>
      <c r="T17" s="26">
        <f t="shared" si="8"/>
        <v>265340838</v>
      </c>
      <c r="U17" s="26">
        <f t="shared" si="8"/>
        <v>276685038</v>
      </c>
      <c r="V17" s="26">
        <f t="shared" si="8"/>
        <v>288029238</v>
      </c>
    </row>
    <row r="18" spans="1:22" s="16" customFormat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6" customFormat="1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6" customFormat="1" x14ac:dyDescent="0.3">
      <c r="A20" s="18" t="s">
        <v>41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s="13" t="s">
        <v>35</v>
      </c>
      <c r="B21" s="14">
        <f>NPV(0.075,B9,B13:V13)</f>
        <v>278121235.04017007</v>
      </c>
      <c r="C21" s="20">
        <f>B21/B11</f>
        <v>1.8541415669344672</v>
      </c>
      <c r="D21" t="s">
        <v>40</v>
      </c>
    </row>
    <row r="22" spans="1:22" x14ac:dyDescent="0.3">
      <c r="A22" s="13" t="s">
        <v>36</v>
      </c>
      <c r="B22" s="15">
        <f>IRR(B14:V14,0.075)</f>
        <v>8.5184612462229081E-2</v>
      </c>
    </row>
    <row r="23" spans="1:22" x14ac:dyDescent="0.3">
      <c r="A23" s="13" t="s">
        <v>45</v>
      </c>
      <c r="B23" s="25">
        <v>8.17</v>
      </c>
      <c r="C23" s="24" t="s">
        <v>57</v>
      </c>
      <c r="D23" t="s">
        <v>46</v>
      </c>
      <c r="E23" t="s">
        <v>46</v>
      </c>
    </row>
    <row r="24" spans="1:22" x14ac:dyDescent="0.3">
      <c r="A24" s="18" t="s">
        <v>37</v>
      </c>
      <c r="B24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33"/>
  <sheetViews>
    <sheetView tabSelected="1" topLeftCell="A19" zoomScale="99" zoomScaleNormal="99" workbookViewId="0">
      <selection activeCell="A27" sqref="A27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4" width="16.44140625" bestFit="1" customWidth="1"/>
    <col min="5" max="5" width="14.77734375" bestFit="1" customWidth="1"/>
    <col min="6" max="19" width="14.5546875" bestFit="1" customWidth="1"/>
    <col min="20" max="22" width="14.77734375" bestFit="1" customWidth="1"/>
    <col min="23" max="23" width="15.77734375" customWidth="1"/>
    <col min="24" max="24" width="14.6640625" bestFit="1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4300*5</f>
        <v>21500</v>
      </c>
      <c r="C2" s="1" t="s">
        <v>80</v>
      </c>
      <c r="D2" s="1"/>
    </row>
    <row r="3" spans="1:23" x14ac:dyDescent="0.3">
      <c r="A3" s="32" t="s">
        <v>59</v>
      </c>
      <c r="B3" s="2"/>
      <c r="C3" s="1"/>
      <c r="D3" s="1"/>
    </row>
    <row r="4" spans="1:23" x14ac:dyDescent="0.3">
      <c r="A4" s="34" t="s">
        <v>60</v>
      </c>
      <c r="B4" s="2"/>
      <c r="C4" s="1"/>
      <c r="D4" s="1"/>
    </row>
    <row r="5" spans="1:23" x14ac:dyDescent="0.3">
      <c r="A5" s="3" t="s">
        <v>55</v>
      </c>
      <c r="B5" s="3">
        <v>246</v>
      </c>
      <c r="C5" s="1" t="s">
        <v>3</v>
      </c>
      <c r="D5" s="1" t="s">
        <v>6</v>
      </c>
      <c r="F5" s="41">
        <v>3.3471000000000002</v>
      </c>
      <c r="G5" t="s">
        <v>62</v>
      </c>
    </row>
    <row r="6" spans="1:23" x14ac:dyDescent="0.3">
      <c r="A6" s="34" t="s">
        <v>61</v>
      </c>
      <c r="B6" s="3"/>
      <c r="C6" s="1"/>
      <c r="D6" s="1"/>
    </row>
    <row r="7" spans="1:23" x14ac:dyDescent="0.3">
      <c r="A7" s="3" t="s">
        <v>55</v>
      </c>
      <c r="B7" s="3">
        <v>119</v>
      </c>
      <c r="C7" s="1" t="s">
        <v>3</v>
      </c>
      <c r="D7" s="1" t="s">
        <v>6</v>
      </c>
      <c r="F7" s="41">
        <v>2.0802999999999998</v>
      </c>
      <c r="G7" t="s">
        <v>62</v>
      </c>
    </row>
    <row r="8" spans="1:23" x14ac:dyDescent="0.3">
      <c r="C8" s="1" t="s">
        <v>56</v>
      </c>
      <c r="D8" s="1"/>
    </row>
    <row r="10" spans="1:23" s="6" customFormat="1" x14ac:dyDescent="0.3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6" t="s">
        <v>20</v>
      </c>
      <c r="L10" s="6" t="s">
        <v>21</v>
      </c>
      <c r="M10" s="6" t="s">
        <v>22</v>
      </c>
      <c r="N10" s="6" t="s">
        <v>23</v>
      </c>
      <c r="O10" s="6" t="s">
        <v>24</v>
      </c>
      <c r="P10" s="6" t="s">
        <v>25</v>
      </c>
      <c r="Q10" s="6" t="s">
        <v>26</v>
      </c>
      <c r="R10" s="6" t="s">
        <v>27</v>
      </c>
      <c r="S10" s="6" t="s">
        <v>28</v>
      </c>
      <c r="T10" s="6" t="s">
        <v>29</v>
      </c>
      <c r="U10" s="6" t="s">
        <v>30</v>
      </c>
      <c r="V10" s="6" t="s">
        <v>31</v>
      </c>
    </row>
    <row r="11" spans="1:23" x14ac:dyDescent="0.3">
      <c r="A11" t="s">
        <v>33</v>
      </c>
    </row>
    <row r="12" spans="1:23" x14ac:dyDescent="0.3">
      <c r="A12" s="7" t="s">
        <v>34</v>
      </c>
      <c r="B12" s="8">
        <v>0</v>
      </c>
      <c r="C12" s="8">
        <f>((($B$2*$B$5*$F$5)-((($B$2*$B$5*$F$5)*10%))+((($B$2*$B$7)*$F$7)+((($B$2*$B$5)*$F$7)*10%))))</f>
        <v>22355248.93</v>
      </c>
      <c r="D12" s="8">
        <f t="shared" ref="D12:V12" si="0">((($B$2*$B$5*$F$5)-((($B$2*$B$5*$F$5)*10%))+((($B$2*$B$7)*$F$7)+((($B$2*$B$5)*$F$7)*10%))))</f>
        <v>22355248.93</v>
      </c>
      <c r="E12" s="8">
        <f t="shared" si="0"/>
        <v>22355248.93</v>
      </c>
      <c r="F12" s="8">
        <f t="shared" si="0"/>
        <v>22355248.93</v>
      </c>
      <c r="G12" s="8">
        <f t="shared" si="0"/>
        <v>22355248.93</v>
      </c>
      <c r="H12" s="8">
        <f t="shared" si="0"/>
        <v>22355248.93</v>
      </c>
      <c r="I12" s="8">
        <f t="shared" si="0"/>
        <v>22355248.93</v>
      </c>
      <c r="J12" s="8">
        <f t="shared" si="0"/>
        <v>22355248.93</v>
      </c>
      <c r="K12" s="8">
        <f t="shared" si="0"/>
        <v>22355248.93</v>
      </c>
      <c r="L12" s="8">
        <f t="shared" si="0"/>
        <v>22355248.93</v>
      </c>
      <c r="M12" s="8">
        <f t="shared" si="0"/>
        <v>22355248.93</v>
      </c>
      <c r="N12" s="8">
        <f t="shared" si="0"/>
        <v>22355248.93</v>
      </c>
      <c r="O12" s="8">
        <f t="shared" si="0"/>
        <v>22355248.93</v>
      </c>
      <c r="P12" s="8">
        <f t="shared" si="0"/>
        <v>22355248.93</v>
      </c>
      <c r="Q12" s="8">
        <f t="shared" si="0"/>
        <v>22355248.93</v>
      </c>
      <c r="R12" s="8">
        <f t="shared" si="0"/>
        <v>22355248.93</v>
      </c>
      <c r="S12" s="8">
        <f t="shared" si="0"/>
        <v>22355248.93</v>
      </c>
      <c r="T12" s="8">
        <f t="shared" si="0"/>
        <v>22355248.93</v>
      </c>
      <c r="U12" s="8">
        <f t="shared" si="0"/>
        <v>22355248.93</v>
      </c>
      <c r="V12" s="8">
        <f t="shared" si="0"/>
        <v>22355248.93</v>
      </c>
      <c r="W12" s="11">
        <f>SUM(B12:V12)</f>
        <v>447104978.60000008</v>
      </c>
    </row>
    <row r="13" spans="1:23" s="6" customFormat="1" x14ac:dyDescent="0.3">
      <c r="A13" s="7" t="s">
        <v>39</v>
      </c>
      <c r="B13" s="8">
        <v>130000000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ref="W13:W14" si="1">SUM(B13:V13)</f>
        <v>130000000</v>
      </c>
    </row>
    <row r="14" spans="1:23" x14ac:dyDescent="0.3">
      <c r="A14" t="s">
        <v>32</v>
      </c>
      <c r="W14" s="11">
        <f t="shared" si="1"/>
        <v>0</v>
      </c>
    </row>
    <row r="15" spans="1:23" s="7" customFormat="1" x14ac:dyDescent="0.3">
      <c r="A15" s="7" t="s">
        <v>76</v>
      </c>
      <c r="B15" s="12">
        <f>B13</f>
        <v>130000000</v>
      </c>
      <c r="C15" s="9">
        <f>C12</f>
        <v>22355248.93</v>
      </c>
      <c r="D15" s="9">
        <f t="shared" ref="D15:V15" si="2">D12</f>
        <v>22355248.93</v>
      </c>
      <c r="E15" s="9">
        <f t="shared" si="2"/>
        <v>22355248.93</v>
      </c>
      <c r="F15" s="9">
        <f t="shared" si="2"/>
        <v>22355248.93</v>
      </c>
      <c r="G15" s="9">
        <f t="shared" si="2"/>
        <v>22355248.93</v>
      </c>
      <c r="H15" s="9">
        <f t="shared" si="2"/>
        <v>22355248.93</v>
      </c>
      <c r="I15" s="9">
        <f t="shared" si="2"/>
        <v>22355248.93</v>
      </c>
      <c r="J15" s="9">
        <f t="shared" si="2"/>
        <v>22355248.93</v>
      </c>
      <c r="K15" s="9">
        <f t="shared" si="2"/>
        <v>22355248.93</v>
      </c>
      <c r="L15" s="9">
        <f t="shared" si="2"/>
        <v>22355248.93</v>
      </c>
      <c r="M15" s="9">
        <f t="shared" si="2"/>
        <v>22355248.93</v>
      </c>
      <c r="N15" s="9">
        <f t="shared" si="2"/>
        <v>22355248.93</v>
      </c>
      <c r="O15" s="9">
        <f t="shared" si="2"/>
        <v>22355248.93</v>
      </c>
      <c r="P15" s="9">
        <f t="shared" si="2"/>
        <v>22355248.93</v>
      </c>
      <c r="Q15" s="9">
        <f t="shared" si="2"/>
        <v>22355248.93</v>
      </c>
      <c r="R15" s="9">
        <f t="shared" si="2"/>
        <v>22355248.93</v>
      </c>
      <c r="S15" s="9">
        <f t="shared" si="2"/>
        <v>22355248.93</v>
      </c>
      <c r="T15" s="9">
        <f t="shared" si="2"/>
        <v>22355248.93</v>
      </c>
      <c r="U15" s="9">
        <f t="shared" si="2"/>
        <v>22355248.93</v>
      </c>
      <c r="V15" s="9">
        <f t="shared" si="2"/>
        <v>22355248.93</v>
      </c>
      <c r="W15" s="11">
        <f>SUM(C15:V15)</f>
        <v>447104978.60000008</v>
      </c>
    </row>
    <row r="16" spans="1:23" s="7" customFormat="1" x14ac:dyDescent="0.3">
      <c r="A16" s="7" t="s">
        <v>38</v>
      </c>
      <c r="B16" s="12">
        <v>20000000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>SUM(B16:V16)</f>
        <v>20000000</v>
      </c>
    </row>
    <row r="17" spans="1:24" s="7" customFormat="1" x14ac:dyDescent="0.3">
      <c r="A17" s="7" t="s">
        <v>74</v>
      </c>
      <c r="B17" s="19"/>
      <c r="C17" s="9">
        <f>400000*12</f>
        <v>4800000</v>
      </c>
      <c r="D17" s="9">
        <f>C17*1.05</f>
        <v>5040000</v>
      </c>
      <c r="E17" s="9">
        <f t="shared" ref="E17:M17" si="3">D17*1.05</f>
        <v>5292000</v>
      </c>
      <c r="F17" s="9">
        <f t="shared" si="3"/>
        <v>5556600</v>
      </c>
      <c r="G17" s="9">
        <f t="shared" si="3"/>
        <v>5834430</v>
      </c>
      <c r="H17" s="9">
        <f t="shared" si="3"/>
        <v>6126151.5</v>
      </c>
      <c r="I17" s="9">
        <f t="shared" si="3"/>
        <v>6432459.0750000002</v>
      </c>
      <c r="J17" s="9">
        <f t="shared" si="3"/>
        <v>6754082.0287500005</v>
      </c>
      <c r="K17" s="9">
        <f t="shared" si="3"/>
        <v>7091786.1301875012</v>
      </c>
      <c r="L17" s="56">
        <f t="shared" si="3"/>
        <v>7446375.4366968768</v>
      </c>
      <c r="M17" s="56">
        <f t="shared" si="3"/>
        <v>7818694.2085317206</v>
      </c>
      <c r="N17" s="56">
        <f>M17*1.05</f>
        <v>8209628.9189583072</v>
      </c>
      <c r="O17" s="9">
        <f t="shared" ref="O17:V17" si="4">N17*1.05</f>
        <v>8620110.3649062235</v>
      </c>
      <c r="P17" s="9">
        <f t="shared" si="4"/>
        <v>9051115.8831515349</v>
      </c>
      <c r="Q17" s="9">
        <f t="shared" si="4"/>
        <v>9503671.6773091126</v>
      </c>
      <c r="R17" s="9">
        <f t="shared" si="4"/>
        <v>9978855.2611745689</v>
      </c>
      <c r="S17" s="9">
        <f t="shared" si="4"/>
        <v>10477798.024233298</v>
      </c>
      <c r="T17" s="9">
        <f t="shared" si="4"/>
        <v>11001687.925444964</v>
      </c>
      <c r="U17" s="9">
        <f t="shared" si="4"/>
        <v>11551772.321717214</v>
      </c>
      <c r="V17" s="9">
        <f t="shared" si="4"/>
        <v>12129360.937803075</v>
      </c>
      <c r="W17" s="50">
        <f>SUM(C17:V17)</f>
        <v>158716579.69386441</v>
      </c>
      <c r="X17" s="51">
        <f>W17/20/12</f>
        <v>661319.08205776836</v>
      </c>
    </row>
    <row r="18" spans="1:24" s="7" customFormat="1" x14ac:dyDescent="0.3">
      <c r="A18" s="7" t="s">
        <v>86</v>
      </c>
      <c r="B18" s="19"/>
      <c r="C18" s="9">
        <v>500000</v>
      </c>
      <c r="D18" s="9">
        <f>C18*1.05</f>
        <v>525000</v>
      </c>
      <c r="E18" s="9">
        <f t="shared" ref="E18:V18" si="5">D18*1.05</f>
        <v>551250</v>
      </c>
      <c r="F18" s="9">
        <f t="shared" si="5"/>
        <v>578812.5</v>
      </c>
      <c r="G18" s="9">
        <f t="shared" si="5"/>
        <v>607753.125</v>
      </c>
      <c r="H18" s="9">
        <f t="shared" si="5"/>
        <v>638140.78125</v>
      </c>
      <c r="I18" s="9">
        <f t="shared" si="5"/>
        <v>670047.8203125</v>
      </c>
      <c r="J18" s="53">
        <f t="shared" si="5"/>
        <v>703550.21132812498</v>
      </c>
      <c r="K18" s="53">
        <f t="shared" si="5"/>
        <v>738727.72189453128</v>
      </c>
      <c r="L18" s="56">
        <f t="shared" si="5"/>
        <v>775664.1079892579</v>
      </c>
      <c r="M18" s="56">
        <f t="shared" si="5"/>
        <v>814447.31338872085</v>
      </c>
      <c r="N18" s="56">
        <f t="shared" si="5"/>
        <v>855169.67905815691</v>
      </c>
      <c r="O18" s="9">
        <f t="shared" si="5"/>
        <v>897928.16301106475</v>
      </c>
      <c r="P18" s="9">
        <f t="shared" si="5"/>
        <v>942824.57116161799</v>
      </c>
      <c r="Q18" s="9">
        <f t="shared" si="5"/>
        <v>989965.79971969896</v>
      </c>
      <c r="R18" s="9">
        <f t="shared" si="5"/>
        <v>1039464.089705684</v>
      </c>
      <c r="S18" s="9">
        <f t="shared" si="5"/>
        <v>1091437.2941909682</v>
      </c>
      <c r="T18" s="9">
        <f t="shared" si="5"/>
        <v>1146009.1589005166</v>
      </c>
      <c r="U18" s="9">
        <f t="shared" si="5"/>
        <v>1203309.6168455426</v>
      </c>
      <c r="V18" s="9">
        <f t="shared" si="5"/>
        <v>1263475.0976878197</v>
      </c>
      <c r="W18" s="50">
        <f>SUM(C18:V18)</f>
        <v>16532977.051444205</v>
      </c>
      <c r="X18" s="51">
        <f>W18/20/12</f>
        <v>68887.404381017521</v>
      </c>
    </row>
    <row r="19" spans="1:24" s="42" customFormat="1" x14ac:dyDescent="0.3">
      <c r="A19" s="42" t="s">
        <v>79</v>
      </c>
      <c r="B19" s="43"/>
      <c r="C19" s="44">
        <v>15000000</v>
      </c>
      <c r="D19" s="44">
        <v>15000000</v>
      </c>
      <c r="E19" s="44">
        <v>15000000</v>
      </c>
      <c r="F19" s="44">
        <v>15000000</v>
      </c>
      <c r="G19" s="44">
        <v>15000000</v>
      </c>
      <c r="H19" s="44">
        <v>15000000</v>
      </c>
      <c r="I19" s="44">
        <v>15000000</v>
      </c>
      <c r="J19" s="44">
        <v>15000000</v>
      </c>
      <c r="K19" s="44">
        <v>15000000</v>
      </c>
      <c r="L19" s="44">
        <v>15000000</v>
      </c>
      <c r="M19" s="44">
        <v>15000000</v>
      </c>
      <c r="N19" s="44">
        <v>15000000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5">
        <f>SUM(C19:V19)</f>
        <v>180000000</v>
      </c>
      <c r="X19" s="52">
        <f>W19/12</f>
        <v>15000000</v>
      </c>
    </row>
    <row r="20" spans="1:24" s="39" customFormat="1" x14ac:dyDescent="0.3">
      <c r="A20" s="39" t="s">
        <v>75</v>
      </c>
      <c r="B20" s="40"/>
      <c r="C20" s="40">
        <f>C15*7%</f>
        <v>1564867.4251000001</v>
      </c>
      <c r="D20" s="40">
        <f t="shared" ref="D20:V20" si="6">D15*7%</f>
        <v>1564867.4251000001</v>
      </c>
      <c r="E20" s="40">
        <f t="shared" si="6"/>
        <v>1564867.4251000001</v>
      </c>
      <c r="F20" s="40">
        <f t="shared" si="6"/>
        <v>1564867.4251000001</v>
      </c>
      <c r="G20" s="40">
        <f t="shared" si="6"/>
        <v>1564867.4251000001</v>
      </c>
      <c r="H20" s="40">
        <f t="shared" si="6"/>
        <v>1564867.4251000001</v>
      </c>
      <c r="I20" s="40">
        <f t="shared" si="6"/>
        <v>1564867.4251000001</v>
      </c>
      <c r="J20" s="40">
        <f t="shared" si="6"/>
        <v>1564867.4251000001</v>
      </c>
      <c r="K20" s="40">
        <f t="shared" si="6"/>
        <v>1564867.4251000001</v>
      </c>
      <c r="L20" s="40">
        <f t="shared" si="6"/>
        <v>1564867.4251000001</v>
      </c>
      <c r="M20" s="40">
        <f t="shared" si="6"/>
        <v>1564867.4251000001</v>
      </c>
      <c r="N20" s="40">
        <f t="shared" si="6"/>
        <v>1564867.4251000001</v>
      </c>
      <c r="O20" s="40">
        <f t="shared" si="6"/>
        <v>1564867.4251000001</v>
      </c>
      <c r="P20" s="40">
        <f t="shared" si="6"/>
        <v>1564867.4251000001</v>
      </c>
      <c r="Q20" s="40">
        <f t="shared" si="6"/>
        <v>1564867.4251000001</v>
      </c>
      <c r="R20" s="40">
        <f t="shared" si="6"/>
        <v>1564867.4251000001</v>
      </c>
      <c r="S20" s="40">
        <f t="shared" si="6"/>
        <v>1564867.4251000001</v>
      </c>
      <c r="T20" s="40">
        <f t="shared" si="6"/>
        <v>1564867.4251000001</v>
      </c>
      <c r="U20" s="40">
        <f t="shared" si="6"/>
        <v>1564867.4251000001</v>
      </c>
      <c r="V20" s="40">
        <f t="shared" si="6"/>
        <v>1564867.4251000001</v>
      </c>
      <c r="W20" s="45">
        <f>SUM(C20:V20)</f>
        <v>31297348.501999993</v>
      </c>
      <c r="X20" s="49" t="s">
        <v>85</v>
      </c>
    </row>
    <row r="21" spans="1:24" s="7" customFormat="1" x14ac:dyDescent="0.3">
      <c r="A21" s="36" t="s">
        <v>78</v>
      </c>
      <c r="B21" s="37">
        <f>(B15)*-1</f>
        <v>-130000000</v>
      </c>
      <c r="C21" s="38">
        <f>C15-C17-C19-C18</f>
        <v>2055248.9299999997</v>
      </c>
      <c r="D21" s="38">
        <f t="shared" ref="D21:V21" si="7">D15-D17-D19-D18</f>
        <v>1790248.9299999997</v>
      </c>
      <c r="E21" s="38">
        <f t="shared" si="7"/>
        <v>1511998.9299999997</v>
      </c>
      <c r="F21" s="38">
        <f t="shared" si="7"/>
        <v>1219836.4299999997</v>
      </c>
      <c r="G21" s="38">
        <f t="shared" si="7"/>
        <v>913065.8049999997</v>
      </c>
      <c r="H21" s="38">
        <f t="shared" si="7"/>
        <v>590956.6487499997</v>
      </c>
      <c r="I21" s="38">
        <f t="shared" si="7"/>
        <v>252742.03468750045</v>
      </c>
      <c r="J21" s="53">
        <f t="shared" si="7"/>
        <v>-102383.3100781258</v>
      </c>
      <c r="K21" s="53">
        <f t="shared" si="7"/>
        <v>-475264.92208203184</v>
      </c>
      <c r="L21" s="53">
        <f t="shared" si="7"/>
        <v>-866790.61468613404</v>
      </c>
      <c r="M21" s="53">
        <f t="shared" si="7"/>
        <v>-1277892.5919204417</v>
      </c>
      <c r="N21" s="53">
        <f t="shared" si="7"/>
        <v>-1709549.6680164635</v>
      </c>
      <c r="O21" s="38">
        <f t="shared" si="7"/>
        <v>12837210.402082711</v>
      </c>
      <c r="P21" s="38">
        <f t="shared" si="7"/>
        <v>12361308.475686846</v>
      </c>
      <c r="Q21" s="38">
        <f t="shared" si="7"/>
        <v>11861611.452971188</v>
      </c>
      <c r="R21" s="38">
        <f t="shared" si="7"/>
        <v>11336929.579119748</v>
      </c>
      <c r="S21" s="38">
        <f t="shared" si="7"/>
        <v>10786013.611575734</v>
      </c>
      <c r="T21" s="38">
        <f t="shared" si="7"/>
        <v>10207551.845654519</v>
      </c>
      <c r="U21" s="38">
        <f t="shared" si="7"/>
        <v>9600166.9914372433</v>
      </c>
      <c r="V21" s="38">
        <f t="shared" si="7"/>
        <v>8962412.894509105</v>
      </c>
      <c r="W21" s="45">
        <f>SUM(C21:V21)-W16</f>
        <v>71855421.854691401</v>
      </c>
      <c r="X21" s="48" t="s">
        <v>84</v>
      </c>
    </row>
    <row r="22" spans="1:24" s="26" customForma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48" t="s">
        <v>83</v>
      </c>
      <c r="W22" s="46">
        <f>W21-W20</f>
        <v>40558073.352691412</v>
      </c>
    </row>
    <row r="23" spans="1:24" s="26" customFormat="1" x14ac:dyDescent="0.3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48" t="s">
        <v>81</v>
      </c>
      <c r="W23" s="46">
        <f>W22/20</f>
        <v>2027903.6676345705</v>
      </c>
    </row>
    <row r="24" spans="1:24" s="26" customFormat="1" x14ac:dyDescent="0.3">
      <c r="V24" s="48" t="s">
        <v>82</v>
      </c>
      <c r="W24" s="46">
        <f>W23/12</f>
        <v>168991.97230288087</v>
      </c>
    </row>
    <row r="25" spans="1:24" s="26" customFormat="1" x14ac:dyDescent="0.3">
      <c r="A25" s="57" t="s">
        <v>10</v>
      </c>
      <c r="B25" s="58">
        <v>0</v>
      </c>
      <c r="C25" s="58">
        <v>1</v>
      </c>
      <c r="D25" s="58">
        <v>2</v>
      </c>
      <c r="E25" s="58">
        <v>3</v>
      </c>
      <c r="F25" s="58">
        <v>4</v>
      </c>
      <c r="G25" s="58">
        <v>5</v>
      </c>
      <c r="H25" s="58">
        <v>6</v>
      </c>
      <c r="I25" s="58">
        <v>7</v>
      </c>
      <c r="J25" s="58">
        <v>8</v>
      </c>
      <c r="K25" s="58">
        <v>9</v>
      </c>
      <c r="L25" s="58">
        <v>10</v>
      </c>
      <c r="M25" s="58">
        <v>11</v>
      </c>
      <c r="N25" s="58">
        <v>12</v>
      </c>
      <c r="O25" s="58">
        <v>13</v>
      </c>
      <c r="P25" s="58">
        <v>14</v>
      </c>
      <c r="Q25" s="58">
        <v>15</v>
      </c>
      <c r="R25" s="58">
        <v>16</v>
      </c>
      <c r="S25" s="58">
        <v>17</v>
      </c>
      <c r="T25" s="58">
        <v>18</v>
      </c>
      <c r="U25" s="58">
        <v>19</v>
      </c>
      <c r="V25" s="58">
        <v>20</v>
      </c>
      <c r="W25" s="59"/>
    </row>
    <row r="26" spans="1:24" s="26" customFormat="1" x14ac:dyDescent="0.3">
      <c r="A26" s="57" t="s">
        <v>53</v>
      </c>
      <c r="B26" s="60">
        <v>150000000</v>
      </c>
      <c r="C26" s="60">
        <f>0+B26</f>
        <v>150000000</v>
      </c>
      <c r="D26" s="60">
        <f t="shared" ref="D26:V26" si="8">0+C26</f>
        <v>150000000</v>
      </c>
      <c r="E26" s="60">
        <f t="shared" si="8"/>
        <v>150000000</v>
      </c>
      <c r="F26" s="60">
        <f t="shared" si="8"/>
        <v>150000000</v>
      </c>
      <c r="G26" s="60">
        <f t="shared" si="8"/>
        <v>150000000</v>
      </c>
      <c r="H26" s="60">
        <f t="shared" si="8"/>
        <v>150000000</v>
      </c>
      <c r="I26" s="60">
        <f t="shared" si="8"/>
        <v>150000000</v>
      </c>
      <c r="J26" s="60">
        <f t="shared" si="8"/>
        <v>150000000</v>
      </c>
      <c r="K26" s="60">
        <f t="shared" si="8"/>
        <v>150000000</v>
      </c>
      <c r="L26" s="60">
        <f t="shared" si="8"/>
        <v>150000000</v>
      </c>
      <c r="M26" s="60">
        <f t="shared" si="8"/>
        <v>150000000</v>
      </c>
      <c r="N26" s="60">
        <f t="shared" si="8"/>
        <v>150000000</v>
      </c>
      <c r="O26" s="60">
        <f t="shared" si="8"/>
        <v>150000000</v>
      </c>
      <c r="P26" s="60">
        <f t="shared" si="8"/>
        <v>150000000</v>
      </c>
      <c r="Q26" s="60">
        <f t="shared" si="8"/>
        <v>150000000</v>
      </c>
      <c r="R26" s="60">
        <f t="shared" si="8"/>
        <v>150000000</v>
      </c>
      <c r="S26" s="60">
        <f t="shared" si="8"/>
        <v>150000000</v>
      </c>
      <c r="T26" s="60">
        <f t="shared" si="8"/>
        <v>150000000</v>
      </c>
      <c r="U26" s="60">
        <f t="shared" si="8"/>
        <v>150000000</v>
      </c>
      <c r="V26" s="60">
        <f t="shared" si="8"/>
        <v>150000000</v>
      </c>
      <c r="W26" s="57"/>
    </row>
    <row r="27" spans="1:24" s="16" customFormat="1" x14ac:dyDescent="0.3">
      <c r="A27" s="57" t="s">
        <v>52</v>
      </c>
      <c r="B27" s="57">
        <v>0</v>
      </c>
      <c r="C27" s="60">
        <v>2055248.93</v>
      </c>
      <c r="D27" s="60">
        <v>1790248.93</v>
      </c>
      <c r="E27" s="60">
        <v>1511998.93</v>
      </c>
      <c r="F27" s="60">
        <v>1219836.43</v>
      </c>
      <c r="G27" s="60">
        <v>913065.81</v>
      </c>
      <c r="H27" s="60">
        <v>590956.65</v>
      </c>
      <c r="I27" s="60">
        <v>252742.03</v>
      </c>
      <c r="J27" s="60">
        <v>-102383.31</v>
      </c>
      <c r="K27" s="60">
        <v>-475264.92</v>
      </c>
      <c r="L27" s="60">
        <v>-866790.61</v>
      </c>
      <c r="M27" s="60">
        <v>-1277892.5900000001</v>
      </c>
      <c r="N27" s="60">
        <v>-1709549.67</v>
      </c>
      <c r="O27" s="60">
        <v>12837210.4</v>
      </c>
      <c r="P27" s="60">
        <v>12361308.48</v>
      </c>
      <c r="Q27" s="60">
        <v>11861611.449999999</v>
      </c>
      <c r="R27" s="60">
        <v>11336929.58</v>
      </c>
      <c r="S27" s="60">
        <v>10786013.609999999</v>
      </c>
      <c r="T27" s="60">
        <v>10207551.85</v>
      </c>
      <c r="U27" s="60">
        <v>9600166.9900000002</v>
      </c>
      <c r="V27" s="60">
        <v>8962412.8900000006</v>
      </c>
      <c r="W27" s="57"/>
    </row>
    <row r="28" spans="1:24" s="16" customFormat="1" x14ac:dyDescent="0.3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4" s="16" customFormat="1" x14ac:dyDescent="0.3">
      <c r="A29" s="18" t="s">
        <v>41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4" x14ac:dyDescent="0.3">
      <c r="A30" s="13" t="s">
        <v>77</v>
      </c>
      <c r="B30" s="14">
        <f>NPV(0.05,B21:V21)</f>
        <v>-81243181.974867821</v>
      </c>
      <c r="C30" s="20">
        <f>B30/B15</f>
        <v>-0.62494755365282939</v>
      </c>
      <c r="D30" t="s">
        <v>40</v>
      </c>
    </row>
    <row r="31" spans="1:24" x14ac:dyDescent="0.3">
      <c r="A31" s="13" t="s">
        <v>36</v>
      </c>
      <c r="B31" s="15"/>
    </row>
    <row r="32" spans="1:24" x14ac:dyDescent="0.3">
      <c r="A32" s="13" t="s">
        <v>45</v>
      </c>
      <c r="B32" s="25"/>
      <c r="C32" s="24"/>
      <c r="D32" t="s">
        <v>46</v>
      </c>
      <c r="E32" t="s">
        <v>46</v>
      </c>
    </row>
    <row r="33" spans="1:1" x14ac:dyDescent="0.3">
      <c r="A33" s="18" t="s">
        <v>37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4"/>
  <sheetViews>
    <sheetView workbookViewId="0">
      <selection activeCell="C17" sqref="C17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5" width="14" customWidth="1"/>
    <col min="6" max="19" width="14.5546875" bestFit="1" customWidth="1"/>
    <col min="20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4200*4</f>
        <v>16800</v>
      </c>
      <c r="C2" s="1" t="s">
        <v>54</v>
      </c>
      <c r="D2" s="1"/>
    </row>
    <row r="3" spans="1:23" x14ac:dyDescent="0.3">
      <c r="A3" s="3" t="s">
        <v>55</v>
      </c>
      <c r="B3" s="3">
        <v>365</v>
      </c>
      <c r="C3" s="1" t="s">
        <v>3</v>
      </c>
      <c r="D3" s="1"/>
    </row>
    <row r="4" spans="1:23" x14ac:dyDescent="0.3">
      <c r="A4" s="1" t="s">
        <v>6</v>
      </c>
      <c r="B4" s="22">
        <v>5.0999999999999996</v>
      </c>
      <c r="C4" s="1" t="s">
        <v>56</v>
      </c>
      <c r="D4" s="1"/>
    </row>
    <row r="6" spans="1:23" s="6" customFormat="1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 t="s">
        <v>23</v>
      </c>
      <c r="O6" s="6" t="s">
        <v>24</v>
      </c>
      <c r="P6" s="6" t="s">
        <v>25</v>
      </c>
      <c r="Q6" s="6" t="s">
        <v>26</v>
      </c>
      <c r="R6" s="6" t="s">
        <v>27</v>
      </c>
      <c r="S6" s="6" t="s">
        <v>28</v>
      </c>
      <c r="T6" s="6" t="s">
        <v>29</v>
      </c>
      <c r="U6" s="6" t="s">
        <v>30</v>
      </c>
      <c r="V6" s="6" t="s">
        <v>31</v>
      </c>
    </row>
    <row r="7" spans="1:23" x14ac:dyDescent="0.3">
      <c r="A7" t="s">
        <v>33</v>
      </c>
    </row>
    <row r="8" spans="1:23" x14ac:dyDescent="0.3">
      <c r="A8" s="7" t="s">
        <v>34</v>
      </c>
      <c r="B8" s="8">
        <v>0</v>
      </c>
      <c r="C8" s="8">
        <f>($B$2*$B$3*$B$4)</f>
        <v>31273199.999999996</v>
      </c>
      <c r="D8" s="8">
        <f t="shared" ref="D8:V8" si="0">($B$2*$B$3*$B$4)</f>
        <v>31273199.999999996</v>
      </c>
      <c r="E8" s="8">
        <f t="shared" si="0"/>
        <v>31273199.999999996</v>
      </c>
      <c r="F8" s="8">
        <f t="shared" si="0"/>
        <v>31273199.999999996</v>
      </c>
      <c r="G8" s="8">
        <f t="shared" si="0"/>
        <v>31273199.999999996</v>
      </c>
      <c r="H8" s="8">
        <f t="shared" si="0"/>
        <v>31273199.999999996</v>
      </c>
      <c r="I8" s="8">
        <f t="shared" si="0"/>
        <v>31273199.999999996</v>
      </c>
      <c r="J8" s="8">
        <f t="shared" si="0"/>
        <v>31273199.999999996</v>
      </c>
      <c r="K8" s="8">
        <f t="shared" si="0"/>
        <v>31273199.999999996</v>
      </c>
      <c r="L8" s="8">
        <f t="shared" si="0"/>
        <v>31273199.999999996</v>
      </c>
      <c r="M8" s="8">
        <f t="shared" si="0"/>
        <v>31273199.999999996</v>
      </c>
      <c r="N8" s="8">
        <f t="shared" si="0"/>
        <v>31273199.999999996</v>
      </c>
      <c r="O8" s="8">
        <f t="shared" si="0"/>
        <v>31273199.999999996</v>
      </c>
      <c r="P8" s="8">
        <f t="shared" si="0"/>
        <v>31273199.999999996</v>
      </c>
      <c r="Q8" s="8">
        <f t="shared" si="0"/>
        <v>31273199.999999996</v>
      </c>
      <c r="R8" s="8">
        <f t="shared" si="0"/>
        <v>31273199.999999996</v>
      </c>
      <c r="S8" s="8">
        <f t="shared" si="0"/>
        <v>31273199.999999996</v>
      </c>
      <c r="T8" s="8">
        <f t="shared" si="0"/>
        <v>31273199.999999996</v>
      </c>
      <c r="U8" s="8">
        <f t="shared" si="0"/>
        <v>31273199.999999996</v>
      </c>
      <c r="V8" s="8">
        <f t="shared" si="0"/>
        <v>31273199.999999996</v>
      </c>
      <c r="W8" s="11">
        <f>SUM(B8:V8)</f>
        <v>625463999.99999988</v>
      </c>
    </row>
    <row r="9" spans="1:23" s="6" customFormat="1" x14ac:dyDescent="0.3">
      <c r="A9" s="7" t="s">
        <v>39</v>
      </c>
      <c r="B9" s="8">
        <v>150000000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f t="shared" ref="W9:W10" si="1">SUM(B9:V9)</f>
        <v>150000000</v>
      </c>
    </row>
    <row r="10" spans="1:23" x14ac:dyDescent="0.3">
      <c r="A10" t="s">
        <v>32</v>
      </c>
      <c r="W10" s="11">
        <f t="shared" si="1"/>
        <v>0</v>
      </c>
    </row>
    <row r="11" spans="1:23" s="7" customFormat="1" x14ac:dyDescent="0.3">
      <c r="A11" s="7" t="s">
        <v>44</v>
      </c>
      <c r="B11" s="12">
        <f>B9</f>
        <v>150000000</v>
      </c>
      <c r="C11" s="9">
        <f>C8*17%</f>
        <v>5316444</v>
      </c>
      <c r="D11" s="9">
        <f t="shared" ref="D11:J11" si="2">D8*17%</f>
        <v>5316444</v>
      </c>
      <c r="E11" s="9">
        <f t="shared" si="2"/>
        <v>5316444</v>
      </c>
      <c r="F11" s="9">
        <f t="shared" si="2"/>
        <v>5316444</v>
      </c>
      <c r="G11" s="9">
        <f t="shared" si="2"/>
        <v>5316444</v>
      </c>
      <c r="H11" s="9">
        <f t="shared" si="2"/>
        <v>5316444</v>
      </c>
      <c r="I11" s="9">
        <f t="shared" si="2"/>
        <v>5316444</v>
      </c>
      <c r="J11" s="9">
        <f t="shared" si="2"/>
        <v>5316444</v>
      </c>
      <c r="K11" s="9">
        <f>((K8/12*17%)*2)+((K8/12*50%)*10)</f>
        <v>13916573.999999998</v>
      </c>
      <c r="L11" s="9">
        <f t="shared" ref="L11:U11" si="3">L8*50%</f>
        <v>15636599.999999998</v>
      </c>
      <c r="M11" s="9">
        <f t="shared" si="3"/>
        <v>15636599.999999998</v>
      </c>
      <c r="N11" s="9">
        <f t="shared" si="3"/>
        <v>15636599.999999998</v>
      </c>
      <c r="O11" s="9">
        <f t="shared" si="3"/>
        <v>15636599.999999998</v>
      </c>
      <c r="P11" s="9">
        <f t="shared" si="3"/>
        <v>15636599.999999998</v>
      </c>
      <c r="Q11" s="9">
        <f t="shared" si="3"/>
        <v>15636599.999999998</v>
      </c>
      <c r="R11" s="9">
        <f t="shared" si="3"/>
        <v>15636599.999999998</v>
      </c>
      <c r="S11" s="9">
        <f t="shared" si="3"/>
        <v>15636599.999999998</v>
      </c>
      <c r="T11" s="9">
        <f t="shared" si="3"/>
        <v>15636599.999999998</v>
      </c>
      <c r="U11" s="9">
        <f t="shared" si="3"/>
        <v>15636599.999999998</v>
      </c>
      <c r="V11" s="9">
        <f>V8*50%</f>
        <v>15636599.999999998</v>
      </c>
      <c r="W11" s="11">
        <f>SUM(C11:V11)</f>
        <v>228450726</v>
      </c>
    </row>
    <row r="12" spans="1:23" s="7" customFormat="1" x14ac:dyDescent="0.3">
      <c r="A12" s="7" t="s">
        <v>38</v>
      </c>
      <c r="B12" s="19">
        <v>20000000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>SUM(B12:V12)</f>
        <v>20000000</v>
      </c>
    </row>
    <row r="13" spans="1:23" s="7" customFormat="1" x14ac:dyDescent="0.3">
      <c r="A13" s="7" t="s">
        <v>43</v>
      </c>
      <c r="B13" s="8">
        <f>B8*40%</f>
        <v>0</v>
      </c>
      <c r="C13" s="9">
        <f>C8*83%</f>
        <v>25956755.999999996</v>
      </c>
      <c r="D13" s="9">
        <f t="shared" ref="D13:G13" si="4">D8*83%</f>
        <v>25956755.999999996</v>
      </c>
      <c r="E13" s="9">
        <f t="shared" si="4"/>
        <v>25956755.999999996</v>
      </c>
      <c r="F13" s="9">
        <f t="shared" si="4"/>
        <v>25956755.999999996</v>
      </c>
      <c r="G13" s="9">
        <f t="shared" si="4"/>
        <v>25956755.999999996</v>
      </c>
      <c r="H13" s="9">
        <f>((H8/12*83%)*10)+((H8/12*50%)*2)</f>
        <v>24236729.999999996</v>
      </c>
      <c r="I13" s="9">
        <f t="shared" ref="I13:K13" si="5">I8*50%</f>
        <v>15636599.999999998</v>
      </c>
      <c r="J13" s="9">
        <f t="shared" si="5"/>
        <v>15636599.999999998</v>
      </c>
      <c r="K13" s="9">
        <f t="shared" si="5"/>
        <v>15636599.999999998</v>
      </c>
      <c r="L13" s="9">
        <f t="shared" ref="L13:V13" si="6">L8*50%</f>
        <v>15636599.999999998</v>
      </c>
      <c r="M13" s="9">
        <f t="shared" si="6"/>
        <v>15636599.999999998</v>
      </c>
      <c r="N13" s="9">
        <f t="shared" si="6"/>
        <v>15636599.999999998</v>
      </c>
      <c r="O13" s="9">
        <f t="shared" si="6"/>
        <v>15636599.999999998</v>
      </c>
      <c r="P13" s="9">
        <f t="shared" si="6"/>
        <v>15636599.999999998</v>
      </c>
      <c r="Q13" s="9">
        <f t="shared" si="6"/>
        <v>15636599.999999998</v>
      </c>
      <c r="R13" s="9">
        <f t="shared" si="6"/>
        <v>15636599.999999998</v>
      </c>
      <c r="S13" s="9">
        <f t="shared" si="6"/>
        <v>15636599.999999998</v>
      </c>
      <c r="T13" s="9">
        <f t="shared" si="6"/>
        <v>15636599.999999998</v>
      </c>
      <c r="U13" s="9">
        <f t="shared" si="6"/>
        <v>15636599.999999998</v>
      </c>
      <c r="V13" s="9">
        <f t="shared" si="6"/>
        <v>15636599.999999998</v>
      </c>
      <c r="W13" s="21">
        <f>SUM(C13:V13)</f>
        <v>372932909.99999994</v>
      </c>
    </row>
    <row r="14" spans="1:23" s="26" customFormat="1" x14ac:dyDescent="0.3">
      <c r="B14" s="27">
        <f>B13-B9</f>
        <v>-150000000</v>
      </c>
      <c r="C14" s="27">
        <f t="shared" ref="C14:V14" si="7">C13-C9</f>
        <v>25956755.999999996</v>
      </c>
      <c r="D14" s="27">
        <f t="shared" si="7"/>
        <v>25956755.999999996</v>
      </c>
      <c r="E14" s="27">
        <f t="shared" si="7"/>
        <v>25956755.999999996</v>
      </c>
      <c r="F14" s="27">
        <f t="shared" si="7"/>
        <v>25956755.999999996</v>
      </c>
      <c r="G14" s="27">
        <f t="shared" si="7"/>
        <v>25956755.999999996</v>
      </c>
      <c r="H14" s="27">
        <f t="shared" si="7"/>
        <v>24236729.999999996</v>
      </c>
      <c r="I14" s="27">
        <f t="shared" si="7"/>
        <v>15636599.999999998</v>
      </c>
      <c r="J14" s="27">
        <f t="shared" si="7"/>
        <v>15636599.999999998</v>
      </c>
      <c r="K14" s="27">
        <f t="shared" si="7"/>
        <v>15636599.999999998</v>
      </c>
      <c r="L14" s="27">
        <f t="shared" si="7"/>
        <v>15636599.999999998</v>
      </c>
      <c r="M14" s="27">
        <f t="shared" si="7"/>
        <v>15636599.999999998</v>
      </c>
      <c r="N14" s="27">
        <f t="shared" si="7"/>
        <v>15636599.999999998</v>
      </c>
      <c r="O14" s="27">
        <f t="shared" si="7"/>
        <v>15636599.999999998</v>
      </c>
      <c r="P14" s="27">
        <f t="shared" si="7"/>
        <v>15636599.999999998</v>
      </c>
      <c r="Q14" s="27">
        <f t="shared" si="7"/>
        <v>15636599.999999998</v>
      </c>
      <c r="R14" s="27">
        <f t="shared" si="7"/>
        <v>15636599.999999998</v>
      </c>
      <c r="S14" s="27">
        <f t="shared" si="7"/>
        <v>15636599.999999998</v>
      </c>
      <c r="T14" s="27">
        <f t="shared" si="7"/>
        <v>15636599.999999998</v>
      </c>
      <c r="U14" s="27">
        <f t="shared" si="7"/>
        <v>15636599.999999998</v>
      </c>
      <c r="V14" s="27">
        <f t="shared" si="7"/>
        <v>15636599.999999998</v>
      </c>
    </row>
    <row r="15" spans="1:23" s="26" customFormat="1" x14ac:dyDescent="0.3">
      <c r="A15" s="26" t="s">
        <v>10</v>
      </c>
      <c r="B15" s="27" t="s">
        <v>11</v>
      </c>
      <c r="C15" s="27" t="s">
        <v>12</v>
      </c>
      <c r="D15" s="27" t="s">
        <v>13</v>
      </c>
      <c r="E15" s="27" t="s">
        <v>14</v>
      </c>
      <c r="F15" s="27" t="s">
        <v>15</v>
      </c>
      <c r="G15" s="27" t="s">
        <v>16</v>
      </c>
      <c r="H15" s="27" t="s">
        <v>17</v>
      </c>
      <c r="I15" s="27" t="s">
        <v>18</v>
      </c>
      <c r="J15" s="27" t="s">
        <v>19</v>
      </c>
      <c r="K15" s="27" t="s">
        <v>20</v>
      </c>
      <c r="L15" s="27" t="s">
        <v>21</v>
      </c>
      <c r="M15" s="27" t="s">
        <v>22</v>
      </c>
      <c r="N15" s="27" t="s">
        <v>23</v>
      </c>
      <c r="O15" s="27" t="s">
        <v>24</v>
      </c>
      <c r="P15" s="27" t="s">
        <v>25</v>
      </c>
      <c r="Q15" s="27" t="s">
        <v>26</v>
      </c>
      <c r="R15" s="27" t="s">
        <v>27</v>
      </c>
      <c r="S15" s="27" t="s">
        <v>28</v>
      </c>
      <c r="T15" s="27" t="s">
        <v>29</v>
      </c>
      <c r="U15" s="27" t="s">
        <v>30</v>
      </c>
      <c r="V15" s="27" t="s">
        <v>31</v>
      </c>
    </row>
    <row r="16" spans="1:23" s="26" customFormat="1" x14ac:dyDescent="0.3">
      <c r="A16" s="26" t="s">
        <v>53</v>
      </c>
      <c r="B16" s="26">
        <v>150000000</v>
      </c>
      <c r="C16" s="26">
        <f>0+B16</f>
        <v>150000000</v>
      </c>
      <c r="D16" s="26">
        <f t="shared" ref="D16:V16" si="8">0+C16</f>
        <v>150000000</v>
      </c>
      <c r="E16" s="26">
        <f t="shared" si="8"/>
        <v>150000000</v>
      </c>
      <c r="F16" s="26">
        <f t="shared" si="8"/>
        <v>150000000</v>
      </c>
      <c r="G16" s="26">
        <f t="shared" si="8"/>
        <v>150000000</v>
      </c>
      <c r="H16" s="26">
        <f t="shared" si="8"/>
        <v>150000000</v>
      </c>
      <c r="I16" s="26">
        <f t="shared" si="8"/>
        <v>150000000</v>
      </c>
      <c r="J16" s="26">
        <f t="shared" si="8"/>
        <v>150000000</v>
      </c>
      <c r="K16" s="26">
        <f t="shared" si="8"/>
        <v>150000000</v>
      </c>
      <c r="L16" s="26">
        <f t="shared" si="8"/>
        <v>150000000</v>
      </c>
      <c r="M16" s="26">
        <f t="shared" si="8"/>
        <v>150000000</v>
      </c>
      <c r="N16" s="26">
        <f t="shared" si="8"/>
        <v>150000000</v>
      </c>
      <c r="O16" s="26">
        <f t="shared" si="8"/>
        <v>150000000</v>
      </c>
      <c r="P16" s="26">
        <f t="shared" si="8"/>
        <v>150000000</v>
      </c>
      <c r="Q16" s="26">
        <f t="shared" si="8"/>
        <v>150000000</v>
      </c>
      <c r="R16" s="26">
        <f t="shared" si="8"/>
        <v>150000000</v>
      </c>
      <c r="S16" s="26">
        <f t="shared" si="8"/>
        <v>150000000</v>
      </c>
      <c r="T16" s="26">
        <f t="shared" si="8"/>
        <v>150000000</v>
      </c>
      <c r="U16" s="26">
        <f t="shared" si="8"/>
        <v>150000000</v>
      </c>
      <c r="V16" s="26">
        <f t="shared" si="8"/>
        <v>150000000</v>
      </c>
    </row>
    <row r="17" spans="1:22" s="26" customFormat="1" x14ac:dyDescent="0.3">
      <c r="A17" s="26" t="s">
        <v>52</v>
      </c>
      <c r="B17" s="26">
        <v>0</v>
      </c>
      <c r="C17" s="26">
        <f>C14</f>
        <v>25956755.999999996</v>
      </c>
      <c r="D17" s="26">
        <f t="shared" ref="D17:V17" si="9">C17+D14</f>
        <v>51913511.999999993</v>
      </c>
      <c r="E17" s="26">
        <f t="shared" si="9"/>
        <v>77870267.999999985</v>
      </c>
      <c r="F17" s="26">
        <f t="shared" si="9"/>
        <v>103827023.99999999</v>
      </c>
      <c r="G17" s="26">
        <f t="shared" si="9"/>
        <v>129783779.99999999</v>
      </c>
      <c r="H17" s="26">
        <f t="shared" si="9"/>
        <v>154020509.99999997</v>
      </c>
      <c r="I17" s="26">
        <f t="shared" si="9"/>
        <v>169657109.99999997</v>
      </c>
      <c r="J17" s="26">
        <f t="shared" si="9"/>
        <v>185293709.99999997</v>
      </c>
      <c r="K17" s="26">
        <f t="shared" si="9"/>
        <v>200930309.99999997</v>
      </c>
      <c r="L17" s="26">
        <f t="shared" si="9"/>
        <v>216566909.99999997</v>
      </c>
      <c r="M17" s="26">
        <f t="shared" si="9"/>
        <v>232203509.99999997</v>
      </c>
      <c r="N17" s="26">
        <f t="shared" si="9"/>
        <v>247840109.99999997</v>
      </c>
      <c r="O17" s="26">
        <f t="shared" si="9"/>
        <v>263476709.99999997</v>
      </c>
      <c r="P17" s="26">
        <f t="shared" si="9"/>
        <v>279113309.99999994</v>
      </c>
      <c r="Q17" s="26">
        <f t="shared" si="9"/>
        <v>294749909.99999994</v>
      </c>
      <c r="R17" s="26">
        <f t="shared" si="9"/>
        <v>310386509.99999994</v>
      </c>
      <c r="S17" s="26">
        <f t="shared" si="9"/>
        <v>326023109.99999994</v>
      </c>
      <c r="T17" s="26">
        <f t="shared" si="9"/>
        <v>341659709.99999994</v>
      </c>
      <c r="U17" s="26">
        <f t="shared" si="9"/>
        <v>357296309.99999994</v>
      </c>
      <c r="V17" s="26">
        <f t="shared" si="9"/>
        <v>372932909.99999994</v>
      </c>
    </row>
    <row r="18" spans="1:22" s="16" customFormat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6" customFormat="1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6" customFormat="1" x14ac:dyDescent="0.3">
      <c r="A20" s="18" t="s">
        <v>41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s="13" t="s">
        <v>35</v>
      </c>
      <c r="B21" s="14">
        <f>NPV(0.075,B9,B13:V13)</f>
        <v>318428469.63989824</v>
      </c>
      <c r="C21" s="20">
        <f>B21/B11</f>
        <v>2.1228564642659884</v>
      </c>
      <c r="D21" t="s">
        <v>40</v>
      </c>
    </row>
    <row r="22" spans="1:22" x14ac:dyDescent="0.3">
      <c r="A22" s="13" t="s">
        <v>36</v>
      </c>
      <c r="B22" s="15">
        <f>IRR(B14:V14,0.075)</f>
        <v>0.13035404090998526</v>
      </c>
    </row>
    <row r="23" spans="1:22" x14ac:dyDescent="0.3">
      <c r="A23" s="13" t="s">
        <v>45</v>
      </c>
      <c r="B23" s="25">
        <v>5.83</v>
      </c>
      <c r="C23" s="24" t="s">
        <v>58</v>
      </c>
      <c r="D23" t="s">
        <v>46</v>
      </c>
      <c r="E23" t="s">
        <v>46</v>
      </c>
    </row>
    <row r="24" spans="1:22" x14ac:dyDescent="0.3">
      <c r="A24" s="18" t="s">
        <v>37</v>
      </c>
      <c r="B24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8"/>
  <sheetViews>
    <sheetView workbookViewId="0">
      <selection activeCell="A28" sqref="A28:XFD28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5000*5</f>
        <v>25000</v>
      </c>
      <c r="C2" s="1" t="s">
        <v>1</v>
      </c>
      <c r="D2" s="1"/>
    </row>
    <row r="3" spans="1:23" x14ac:dyDescent="0.3">
      <c r="A3" s="3" t="s">
        <v>2</v>
      </c>
      <c r="B3" s="3">
        <v>5</v>
      </c>
      <c r="C3" s="1" t="s">
        <v>3</v>
      </c>
      <c r="D3" s="1"/>
    </row>
    <row r="4" spans="1:23" x14ac:dyDescent="0.3">
      <c r="A4" s="2" t="s">
        <v>4</v>
      </c>
      <c r="B4" s="2">
        <v>52</v>
      </c>
      <c r="C4" s="1" t="s">
        <v>5</v>
      </c>
      <c r="D4" s="1"/>
    </row>
    <row r="5" spans="1:23" x14ac:dyDescent="0.3">
      <c r="A5" s="1" t="s">
        <v>6</v>
      </c>
      <c r="B5" s="22">
        <f>4.2*1.07</f>
        <v>4.4940000000000007</v>
      </c>
      <c r="C5" s="1" t="s">
        <v>7</v>
      </c>
      <c r="D5" s="1"/>
    </row>
    <row r="6" spans="1:23" x14ac:dyDescent="0.3">
      <c r="A6" s="4" t="s">
        <v>6</v>
      </c>
      <c r="B6" s="23">
        <f>2.5*1.07</f>
        <v>2.6750000000000003</v>
      </c>
      <c r="C6" s="4" t="s">
        <v>8</v>
      </c>
      <c r="D6" s="5"/>
    </row>
    <row r="7" spans="1:23" x14ac:dyDescent="0.3">
      <c r="A7" s="5" t="s">
        <v>42</v>
      </c>
      <c r="B7" s="5">
        <f>52*2+21</f>
        <v>125</v>
      </c>
      <c r="C7" s="4" t="s">
        <v>3</v>
      </c>
    </row>
    <row r="9" spans="1:23" s="6" customFormat="1" x14ac:dyDescent="0.3">
      <c r="A9" s="6" t="s">
        <v>10</v>
      </c>
      <c r="B9" s="6" t="s">
        <v>11</v>
      </c>
      <c r="C9" s="6" t="s">
        <v>12</v>
      </c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6" t="s">
        <v>23</v>
      </c>
      <c r="O9" s="6" t="s">
        <v>24</v>
      </c>
      <c r="P9" s="6" t="s">
        <v>25</v>
      </c>
      <c r="Q9" s="6" t="s">
        <v>26</v>
      </c>
      <c r="R9" s="6" t="s">
        <v>27</v>
      </c>
      <c r="S9" s="6" t="s">
        <v>28</v>
      </c>
      <c r="T9" s="6" t="s">
        <v>29</v>
      </c>
      <c r="U9" s="6" t="s">
        <v>30</v>
      </c>
      <c r="V9" s="6" t="s">
        <v>31</v>
      </c>
    </row>
    <row r="10" spans="1:23" x14ac:dyDescent="0.3">
      <c r="A10" t="s">
        <v>33</v>
      </c>
    </row>
    <row r="11" spans="1:23" x14ac:dyDescent="0.3">
      <c r="A11" s="7" t="s">
        <v>34</v>
      </c>
      <c r="B11" s="8">
        <v>0</v>
      </c>
      <c r="C11" s="8">
        <f>(($B$4*$B$3-21)*$B$2*$B$5)+($B$7*$B$6*$B$2)</f>
        <v>35211025.000000007</v>
      </c>
      <c r="D11" s="8">
        <f t="shared" ref="D11:V11" si="0">(($B$4*$B$3-21)*$B$2*$B$5)+($B$7*$B$6*$B$2)</f>
        <v>35211025.000000007</v>
      </c>
      <c r="E11" s="8">
        <f t="shared" si="0"/>
        <v>35211025.000000007</v>
      </c>
      <c r="F11" s="8">
        <f t="shared" si="0"/>
        <v>35211025.000000007</v>
      </c>
      <c r="G11" s="8">
        <f t="shared" si="0"/>
        <v>35211025.000000007</v>
      </c>
      <c r="H11" s="8">
        <f t="shared" si="0"/>
        <v>35211025.000000007</v>
      </c>
      <c r="I11" s="8">
        <f t="shared" si="0"/>
        <v>35211025.000000007</v>
      </c>
      <c r="J11" s="8">
        <f t="shared" si="0"/>
        <v>35211025.000000007</v>
      </c>
      <c r="K11" s="8">
        <f t="shared" si="0"/>
        <v>35211025.000000007</v>
      </c>
      <c r="L11" s="8">
        <f t="shared" si="0"/>
        <v>35211025.000000007</v>
      </c>
      <c r="M11" s="8">
        <f t="shared" si="0"/>
        <v>35211025.000000007</v>
      </c>
      <c r="N11" s="8">
        <f t="shared" si="0"/>
        <v>35211025.000000007</v>
      </c>
      <c r="O11" s="8">
        <f t="shared" si="0"/>
        <v>35211025.000000007</v>
      </c>
      <c r="P11" s="8">
        <f t="shared" si="0"/>
        <v>35211025.000000007</v>
      </c>
      <c r="Q11" s="8">
        <f t="shared" si="0"/>
        <v>35211025.000000007</v>
      </c>
      <c r="R11" s="8">
        <f t="shared" si="0"/>
        <v>35211025.000000007</v>
      </c>
      <c r="S11" s="8">
        <f t="shared" si="0"/>
        <v>35211025.000000007</v>
      </c>
      <c r="T11" s="8">
        <f t="shared" si="0"/>
        <v>35211025.000000007</v>
      </c>
      <c r="U11" s="8">
        <f t="shared" si="0"/>
        <v>35211025.000000007</v>
      </c>
      <c r="V11" s="8">
        <f t="shared" si="0"/>
        <v>35211025.000000007</v>
      </c>
      <c r="W11" s="11">
        <f>SUM(B11:V11)</f>
        <v>704220500.00000012</v>
      </c>
    </row>
    <row r="12" spans="1:23" s="6" customFormat="1" x14ac:dyDescent="0.3">
      <c r="A12" s="7" t="s">
        <v>39</v>
      </c>
      <c r="B12" s="8">
        <v>150000000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 t="shared" ref="W12:W13" si="1">SUM(B12:V12)</f>
        <v>150000000</v>
      </c>
    </row>
    <row r="13" spans="1:23" x14ac:dyDescent="0.3">
      <c r="A13" t="s">
        <v>32</v>
      </c>
      <c r="W13" s="11">
        <f t="shared" si="1"/>
        <v>0</v>
      </c>
    </row>
    <row r="14" spans="1:23" s="7" customFormat="1" x14ac:dyDescent="0.3">
      <c r="A14" s="28" t="s">
        <v>44</v>
      </c>
      <c r="B14" s="29">
        <f>B12</f>
        <v>150000000</v>
      </c>
      <c r="C14" s="30">
        <f>C11*17%</f>
        <v>5985874.2500000019</v>
      </c>
      <c r="D14" s="30">
        <f t="shared" ref="D14:H14" si="2">D11*17%</f>
        <v>5985874.2500000019</v>
      </c>
      <c r="E14" s="30">
        <f t="shared" si="2"/>
        <v>5985874.2500000019</v>
      </c>
      <c r="F14" s="30">
        <f t="shared" si="2"/>
        <v>5985874.2500000019</v>
      </c>
      <c r="G14" s="30">
        <f t="shared" si="2"/>
        <v>5985874.2500000019</v>
      </c>
      <c r="H14" s="30">
        <f t="shared" si="2"/>
        <v>5985874.2500000019</v>
      </c>
      <c r="I14" s="30">
        <f t="shared" ref="I14:U14" si="3">I11*50%</f>
        <v>17605512.500000004</v>
      </c>
      <c r="J14" s="30">
        <f t="shared" si="3"/>
        <v>17605512.500000004</v>
      </c>
      <c r="K14" s="30">
        <f t="shared" si="3"/>
        <v>17605512.500000004</v>
      </c>
      <c r="L14" s="30">
        <f t="shared" si="3"/>
        <v>17605512.500000004</v>
      </c>
      <c r="M14" s="30">
        <f t="shared" si="3"/>
        <v>17605512.500000004</v>
      </c>
      <c r="N14" s="30">
        <f t="shared" si="3"/>
        <v>17605512.500000004</v>
      </c>
      <c r="O14" s="30">
        <f t="shared" si="3"/>
        <v>17605512.500000004</v>
      </c>
      <c r="P14" s="30">
        <f t="shared" si="3"/>
        <v>17605512.500000004</v>
      </c>
      <c r="Q14" s="30">
        <f t="shared" si="3"/>
        <v>17605512.500000004</v>
      </c>
      <c r="R14" s="30">
        <f t="shared" si="3"/>
        <v>17605512.500000004</v>
      </c>
      <c r="S14" s="30">
        <f t="shared" si="3"/>
        <v>17605512.500000004</v>
      </c>
      <c r="T14" s="30">
        <f t="shared" si="3"/>
        <v>17605512.500000004</v>
      </c>
      <c r="U14" s="30">
        <f t="shared" si="3"/>
        <v>17605512.500000004</v>
      </c>
      <c r="V14" s="30">
        <f>V11*50%</f>
        <v>17605512.500000004</v>
      </c>
      <c r="W14" s="11">
        <f>SUM(C14:V14)</f>
        <v>282392420.50000006</v>
      </c>
    </row>
    <row r="15" spans="1:23" s="7" customFormat="1" x14ac:dyDescent="0.3">
      <c r="A15" s="28" t="s">
        <v>49</v>
      </c>
      <c r="B15" s="29"/>
      <c r="C15" s="30">
        <f>C14-C17</f>
        <v>4485874.2500000019</v>
      </c>
      <c r="D15" s="30">
        <f t="shared" ref="D15:H15" si="4">D14-D17</f>
        <v>4485874.2500000019</v>
      </c>
      <c r="E15" s="30">
        <f t="shared" si="4"/>
        <v>4485874.2500000019</v>
      </c>
      <c r="F15" s="30">
        <f t="shared" si="4"/>
        <v>4485874.2500000019</v>
      </c>
      <c r="G15" s="30">
        <f t="shared" si="4"/>
        <v>4485874.2500000019</v>
      </c>
      <c r="H15" s="30">
        <f t="shared" si="4"/>
        <v>4485874.2500000019</v>
      </c>
      <c r="I15" s="30">
        <f t="shared" ref="I15" si="5">I14-I17</f>
        <v>10105512.500000004</v>
      </c>
      <c r="J15" s="30">
        <f t="shared" ref="J15" si="6">J14-J17</f>
        <v>10105512.500000004</v>
      </c>
      <c r="K15" s="30">
        <f t="shared" ref="K15" si="7">K14-K17</f>
        <v>10105512.500000004</v>
      </c>
      <c r="L15" s="30">
        <f t="shared" ref="L15" si="8">L14-L17</f>
        <v>10105512.500000004</v>
      </c>
      <c r="M15" s="30">
        <f t="shared" ref="M15" si="9">M14-M17</f>
        <v>10105512.500000004</v>
      </c>
      <c r="N15" s="30">
        <f t="shared" ref="N15" si="10">N14-N17</f>
        <v>10105512.500000004</v>
      </c>
      <c r="O15" s="30">
        <f t="shared" ref="O15" si="11">O14-O17</f>
        <v>10105512.500000004</v>
      </c>
      <c r="P15" s="30">
        <f t="shared" ref="P15" si="12">P14-P17</f>
        <v>10105512.500000004</v>
      </c>
      <c r="Q15" s="30">
        <f t="shared" ref="Q15" si="13">Q14-Q17</f>
        <v>10105512.500000004</v>
      </c>
      <c r="R15" s="30">
        <f t="shared" ref="R15" si="14">R14-R17</f>
        <v>10105512.500000004</v>
      </c>
      <c r="S15" s="30">
        <f t="shared" ref="S15" si="15">S14-S17</f>
        <v>10105512.500000004</v>
      </c>
      <c r="T15" s="30">
        <f t="shared" ref="T15" si="16">T14-T17</f>
        <v>10105512.500000004</v>
      </c>
      <c r="U15" s="30">
        <f t="shared" ref="U15" si="17">U14-U17</f>
        <v>10105512.500000004</v>
      </c>
      <c r="V15" s="30">
        <f t="shared" ref="V15" si="18">V14-V17</f>
        <v>10105512.500000004</v>
      </c>
      <c r="W15" s="11"/>
    </row>
    <row r="16" spans="1:23" s="7" customFormat="1" x14ac:dyDescent="0.3">
      <c r="A16" s="28" t="s">
        <v>50</v>
      </c>
      <c r="B16" s="31">
        <v>150000000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11"/>
    </row>
    <row r="17" spans="1:23" s="7" customFormat="1" x14ac:dyDescent="0.3">
      <c r="A17" s="28" t="s">
        <v>51</v>
      </c>
      <c r="B17" s="31"/>
      <c r="C17" s="30">
        <f>$B$16*1%</f>
        <v>1500000</v>
      </c>
      <c r="D17" s="30">
        <f t="shared" ref="D17:H17" si="19">$B$16*1%</f>
        <v>1500000</v>
      </c>
      <c r="E17" s="30">
        <f t="shared" si="19"/>
        <v>1500000</v>
      </c>
      <c r="F17" s="30">
        <f t="shared" si="19"/>
        <v>1500000</v>
      </c>
      <c r="G17" s="30">
        <f t="shared" si="19"/>
        <v>1500000</v>
      </c>
      <c r="H17" s="30">
        <f t="shared" si="19"/>
        <v>1500000</v>
      </c>
      <c r="I17" s="30">
        <f t="shared" ref="I17:V17" si="20">$B$16*5%</f>
        <v>7500000</v>
      </c>
      <c r="J17" s="30">
        <f t="shared" si="20"/>
        <v>7500000</v>
      </c>
      <c r="K17" s="30">
        <f t="shared" si="20"/>
        <v>7500000</v>
      </c>
      <c r="L17" s="30">
        <f t="shared" si="20"/>
        <v>7500000</v>
      </c>
      <c r="M17" s="30">
        <f t="shared" si="20"/>
        <v>7500000</v>
      </c>
      <c r="N17" s="30">
        <f t="shared" si="20"/>
        <v>7500000</v>
      </c>
      <c r="O17" s="30">
        <f t="shared" si="20"/>
        <v>7500000</v>
      </c>
      <c r="P17" s="30">
        <f t="shared" si="20"/>
        <v>7500000</v>
      </c>
      <c r="Q17" s="30">
        <f t="shared" si="20"/>
        <v>7500000</v>
      </c>
      <c r="R17" s="30">
        <f t="shared" si="20"/>
        <v>7500000</v>
      </c>
      <c r="S17" s="30">
        <f t="shared" si="20"/>
        <v>7500000</v>
      </c>
      <c r="T17" s="30">
        <f t="shared" si="20"/>
        <v>7500000</v>
      </c>
      <c r="U17" s="30">
        <f t="shared" si="20"/>
        <v>7500000</v>
      </c>
      <c r="V17" s="30">
        <f t="shared" si="20"/>
        <v>7500000</v>
      </c>
      <c r="W17" s="11"/>
    </row>
    <row r="18" spans="1:23" s="7" customFormat="1" x14ac:dyDescent="0.3">
      <c r="A18" s="7" t="s">
        <v>38</v>
      </c>
      <c r="B18" s="19">
        <v>20000000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1">
        <f>SUM(B18:V18)</f>
        <v>20000000</v>
      </c>
    </row>
    <row r="19" spans="1:23" s="7" customFormat="1" x14ac:dyDescent="0.3">
      <c r="A19" s="7" t="s">
        <v>43</v>
      </c>
      <c r="B19" s="8">
        <f>B11*40%</f>
        <v>0</v>
      </c>
      <c r="C19" s="9">
        <f>C11*83%</f>
        <v>29225150.750000004</v>
      </c>
      <c r="D19" s="9">
        <f t="shared" ref="D19:H19" si="21">D11*83%</f>
        <v>29225150.750000004</v>
      </c>
      <c r="E19" s="9">
        <f t="shared" si="21"/>
        <v>29225150.750000004</v>
      </c>
      <c r="F19" s="9">
        <f t="shared" si="21"/>
        <v>29225150.750000004</v>
      </c>
      <c r="G19" s="9">
        <f t="shared" si="21"/>
        <v>29225150.750000004</v>
      </c>
      <c r="H19" s="9">
        <f t="shared" si="21"/>
        <v>29225150.750000004</v>
      </c>
      <c r="I19" s="9">
        <f>I11*50%</f>
        <v>17605512.500000004</v>
      </c>
      <c r="J19" s="9">
        <f t="shared" ref="J19:V19" si="22">J11*50%</f>
        <v>17605512.500000004</v>
      </c>
      <c r="K19" s="9">
        <f t="shared" si="22"/>
        <v>17605512.500000004</v>
      </c>
      <c r="L19" s="9">
        <f t="shared" si="22"/>
        <v>17605512.500000004</v>
      </c>
      <c r="M19" s="9">
        <f t="shared" si="22"/>
        <v>17605512.500000004</v>
      </c>
      <c r="N19" s="9">
        <f t="shared" si="22"/>
        <v>17605512.500000004</v>
      </c>
      <c r="O19" s="9">
        <f t="shared" si="22"/>
        <v>17605512.500000004</v>
      </c>
      <c r="P19" s="9">
        <f t="shared" si="22"/>
        <v>17605512.500000004</v>
      </c>
      <c r="Q19" s="9">
        <f t="shared" si="22"/>
        <v>17605512.500000004</v>
      </c>
      <c r="R19" s="9">
        <f t="shared" si="22"/>
        <v>17605512.500000004</v>
      </c>
      <c r="S19" s="9">
        <f t="shared" si="22"/>
        <v>17605512.500000004</v>
      </c>
      <c r="T19" s="9">
        <f t="shared" si="22"/>
        <v>17605512.500000004</v>
      </c>
      <c r="U19" s="9">
        <f t="shared" si="22"/>
        <v>17605512.500000004</v>
      </c>
      <c r="V19" s="9">
        <f t="shared" si="22"/>
        <v>17605512.500000004</v>
      </c>
      <c r="W19" s="21">
        <f>SUM(C19:V19)</f>
        <v>421828079.50000006</v>
      </c>
    </row>
    <row r="20" spans="1:23" s="26" customFormat="1" x14ac:dyDescent="0.3">
      <c r="B20" s="27">
        <f>B19-B12</f>
        <v>-150000000</v>
      </c>
      <c r="C20" s="27">
        <f t="shared" ref="C20:V20" si="23">C19-C12</f>
        <v>29225150.750000004</v>
      </c>
      <c r="D20" s="27">
        <f t="shared" si="23"/>
        <v>29225150.750000004</v>
      </c>
      <c r="E20" s="27">
        <f t="shared" si="23"/>
        <v>29225150.750000004</v>
      </c>
      <c r="F20" s="27">
        <f t="shared" si="23"/>
        <v>29225150.750000004</v>
      </c>
      <c r="G20" s="27">
        <f t="shared" si="23"/>
        <v>29225150.750000004</v>
      </c>
      <c r="H20" s="27">
        <f t="shared" si="23"/>
        <v>29225150.750000004</v>
      </c>
      <c r="I20" s="27">
        <f t="shared" si="23"/>
        <v>17605512.500000004</v>
      </c>
      <c r="J20" s="27">
        <f t="shared" si="23"/>
        <v>17605512.500000004</v>
      </c>
      <c r="K20" s="27">
        <f t="shared" si="23"/>
        <v>17605512.500000004</v>
      </c>
      <c r="L20" s="27">
        <f t="shared" si="23"/>
        <v>17605512.500000004</v>
      </c>
      <c r="M20" s="27">
        <f t="shared" si="23"/>
        <v>17605512.500000004</v>
      </c>
      <c r="N20" s="27">
        <f t="shared" si="23"/>
        <v>17605512.500000004</v>
      </c>
      <c r="O20" s="27">
        <f t="shared" si="23"/>
        <v>17605512.500000004</v>
      </c>
      <c r="P20" s="27">
        <f t="shared" si="23"/>
        <v>17605512.500000004</v>
      </c>
      <c r="Q20" s="27">
        <f t="shared" si="23"/>
        <v>17605512.500000004</v>
      </c>
      <c r="R20" s="27">
        <f t="shared" si="23"/>
        <v>17605512.500000004</v>
      </c>
      <c r="S20" s="27">
        <f t="shared" si="23"/>
        <v>17605512.500000004</v>
      </c>
      <c r="T20" s="27">
        <f t="shared" si="23"/>
        <v>17605512.500000004</v>
      </c>
      <c r="U20" s="27">
        <f t="shared" si="23"/>
        <v>17605512.500000004</v>
      </c>
      <c r="V20" s="27">
        <f t="shared" si="23"/>
        <v>17605512.500000004</v>
      </c>
    </row>
    <row r="21" spans="1:23" s="16" customFormat="1" x14ac:dyDescent="0.3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3" s="16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s="16" customFormat="1" x14ac:dyDescent="0.3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s="16" customFormat="1" x14ac:dyDescent="0.3">
      <c r="A24" s="18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x14ac:dyDescent="0.3">
      <c r="A25" s="13" t="s">
        <v>35</v>
      </c>
      <c r="B25" s="14">
        <f>NPV(0.075,B12,B19:V19)</f>
        <v>342040058.37727702</v>
      </c>
      <c r="C25" s="20">
        <f>B25/B14</f>
        <v>2.2802670558485136</v>
      </c>
      <c r="D25" t="s">
        <v>40</v>
      </c>
    </row>
    <row r="26" spans="1:23" x14ac:dyDescent="0.3">
      <c r="A26" s="13" t="s">
        <v>36</v>
      </c>
      <c r="B26" s="15">
        <f>IRR(B20:V20,0.075)</f>
        <v>0.15587686320803873</v>
      </c>
    </row>
    <row r="27" spans="1:23" x14ac:dyDescent="0.3">
      <c r="A27" s="13" t="s">
        <v>45</v>
      </c>
      <c r="B27" s="25">
        <v>5.17</v>
      </c>
      <c r="C27" s="24" t="s">
        <v>47</v>
      </c>
      <c r="D27" t="s">
        <v>46</v>
      </c>
      <c r="E27" t="s">
        <v>46</v>
      </c>
    </row>
    <row r="28" spans="1:23" x14ac:dyDescent="0.3">
      <c r="A28" s="18" t="s">
        <v>37</v>
      </c>
      <c r="B28" t="s">
        <v>48</v>
      </c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workbookViewId="0">
      <selection activeCell="C24" sqref="C24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5" width="14" customWidth="1"/>
    <col min="6" max="19" width="14.5546875" bestFit="1" customWidth="1"/>
    <col min="20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4200*4</f>
        <v>16800</v>
      </c>
      <c r="C2" s="1" t="s">
        <v>54</v>
      </c>
      <c r="D2" s="1"/>
    </row>
    <row r="3" spans="1:23" x14ac:dyDescent="0.3">
      <c r="A3" s="3" t="s">
        <v>55</v>
      </c>
      <c r="B3" s="3">
        <v>365</v>
      </c>
      <c r="C3" s="1" t="s">
        <v>3</v>
      </c>
      <c r="D3" s="1"/>
    </row>
    <row r="4" spans="1:23" x14ac:dyDescent="0.3">
      <c r="A4" s="1" t="s">
        <v>6</v>
      </c>
      <c r="B4" s="22">
        <v>3.7</v>
      </c>
      <c r="C4" s="1" t="s">
        <v>56</v>
      </c>
      <c r="D4" s="1"/>
    </row>
    <row r="6" spans="1:23" s="6" customFormat="1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 t="s">
        <v>23</v>
      </c>
      <c r="O6" s="6" t="s">
        <v>24</v>
      </c>
      <c r="P6" s="6" t="s">
        <v>25</v>
      </c>
      <c r="Q6" s="6" t="s">
        <v>26</v>
      </c>
      <c r="R6" s="6" t="s">
        <v>27</v>
      </c>
      <c r="S6" s="6" t="s">
        <v>28</v>
      </c>
      <c r="T6" s="6" t="s">
        <v>29</v>
      </c>
      <c r="U6" s="6" t="s">
        <v>30</v>
      </c>
      <c r="V6" s="6" t="s">
        <v>31</v>
      </c>
    </row>
    <row r="7" spans="1:23" x14ac:dyDescent="0.3">
      <c r="A7" t="s">
        <v>33</v>
      </c>
    </row>
    <row r="8" spans="1:23" x14ac:dyDescent="0.3">
      <c r="A8" s="7" t="s">
        <v>34</v>
      </c>
      <c r="B8" s="8">
        <v>0</v>
      </c>
      <c r="C8" s="8">
        <f>($B$2*$B$3*$B$4)</f>
        <v>22688400</v>
      </c>
      <c r="D8" s="8">
        <f t="shared" ref="D8:V8" si="0">($B$2*$B$3*$B$4)</f>
        <v>22688400</v>
      </c>
      <c r="E8" s="8">
        <f t="shared" si="0"/>
        <v>22688400</v>
      </c>
      <c r="F8" s="8">
        <f t="shared" si="0"/>
        <v>22688400</v>
      </c>
      <c r="G8" s="8">
        <f t="shared" si="0"/>
        <v>22688400</v>
      </c>
      <c r="H8" s="8">
        <f t="shared" si="0"/>
        <v>22688400</v>
      </c>
      <c r="I8" s="8">
        <f t="shared" si="0"/>
        <v>22688400</v>
      </c>
      <c r="J8" s="8">
        <f t="shared" si="0"/>
        <v>22688400</v>
      </c>
      <c r="K8" s="8">
        <f t="shared" si="0"/>
        <v>22688400</v>
      </c>
      <c r="L8" s="8">
        <f t="shared" si="0"/>
        <v>22688400</v>
      </c>
      <c r="M8" s="8">
        <f t="shared" si="0"/>
        <v>22688400</v>
      </c>
      <c r="N8" s="8">
        <f t="shared" si="0"/>
        <v>22688400</v>
      </c>
      <c r="O8" s="8">
        <f t="shared" si="0"/>
        <v>22688400</v>
      </c>
      <c r="P8" s="8">
        <f t="shared" si="0"/>
        <v>22688400</v>
      </c>
      <c r="Q8" s="8">
        <f t="shared" si="0"/>
        <v>22688400</v>
      </c>
      <c r="R8" s="8">
        <f t="shared" si="0"/>
        <v>22688400</v>
      </c>
      <c r="S8" s="8">
        <f t="shared" si="0"/>
        <v>22688400</v>
      </c>
      <c r="T8" s="8">
        <f t="shared" si="0"/>
        <v>22688400</v>
      </c>
      <c r="U8" s="8">
        <f t="shared" si="0"/>
        <v>22688400</v>
      </c>
      <c r="V8" s="8">
        <f t="shared" si="0"/>
        <v>22688400</v>
      </c>
      <c r="W8" s="11">
        <f>SUM(B8:V8)</f>
        <v>453768000</v>
      </c>
    </row>
    <row r="9" spans="1:23" s="6" customFormat="1" x14ac:dyDescent="0.3">
      <c r="A9" s="7" t="s">
        <v>39</v>
      </c>
      <c r="B9" s="8">
        <v>130000000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f t="shared" ref="W9:W10" si="1">SUM(B9:V9)</f>
        <v>130000000</v>
      </c>
    </row>
    <row r="10" spans="1:23" x14ac:dyDescent="0.3">
      <c r="A10" t="s">
        <v>32</v>
      </c>
      <c r="W10" s="11">
        <f t="shared" si="1"/>
        <v>0</v>
      </c>
    </row>
    <row r="11" spans="1:23" s="7" customFormat="1" x14ac:dyDescent="0.3">
      <c r="A11" s="7" t="s">
        <v>44</v>
      </c>
      <c r="B11" s="12">
        <f>B9</f>
        <v>130000000</v>
      </c>
      <c r="C11" s="9">
        <f>C8*17%</f>
        <v>3857028.0000000005</v>
      </c>
      <c r="D11" s="9">
        <f t="shared" ref="D11:I11" si="2">D8*17%</f>
        <v>3857028.0000000005</v>
      </c>
      <c r="E11" s="9">
        <f t="shared" si="2"/>
        <v>3857028.0000000005</v>
      </c>
      <c r="F11" s="9">
        <f t="shared" si="2"/>
        <v>3857028.0000000005</v>
      </c>
      <c r="G11" s="9">
        <f t="shared" si="2"/>
        <v>3857028.0000000005</v>
      </c>
      <c r="H11" s="9">
        <f t="shared" si="2"/>
        <v>3857028.0000000005</v>
      </c>
      <c r="I11" s="9">
        <f t="shared" si="2"/>
        <v>3857028.0000000005</v>
      </c>
      <c r="J11" s="9">
        <f t="shared" ref="J11:U11" si="3">J8*50%</f>
        <v>11344200</v>
      </c>
      <c r="K11" s="9">
        <f t="shared" si="3"/>
        <v>11344200</v>
      </c>
      <c r="L11" s="9">
        <f t="shared" si="3"/>
        <v>11344200</v>
      </c>
      <c r="M11" s="9">
        <f t="shared" si="3"/>
        <v>11344200</v>
      </c>
      <c r="N11" s="9">
        <f t="shared" si="3"/>
        <v>11344200</v>
      </c>
      <c r="O11" s="9">
        <f t="shared" si="3"/>
        <v>11344200</v>
      </c>
      <c r="P11" s="9">
        <f t="shared" si="3"/>
        <v>11344200</v>
      </c>
      <c r="Q11" s="9">
        <f t="shared" si="3"/>
        <v>11344200</v>
      </c>
      <c r="R11" s="9">
        <f t="shared" si="3"/>
        <v>11344200</v>
      </c>
      <c r="S11" s="9">
        <f t="shared" si="3"/>
        <v>11344200</v>
      </c>
      <c r="T11" s="9">
        <f t="shared" si="3"/>
        <v>11344200</v>
      </c>
      <c r="U11" s="9">
        <f t="shared" si="3"/>
        <v>11344200</v>
      </c>
      <c r="V11" s="9">
        <f>V8*50%</f>
        <v>11344200</v>
      </c>
      <c r="W11" s="11">
        <f>SUM(C11:V11)</f>
        <v>174473796</v>
      </c>
    </row>
    <row r="12" spans="1:23" s="7" customFormat="1" x14ac:dyDescent="0.3">
      <c r="A12" s="7" t="s">
        <v>38</v>
      </c>
      <c r="B12" s="19">
        <v>20000000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>SUM(B12:V12)</f>
        <v>20000000</v>
      </c>
    </row>
    <row r="13" spans="1:23" s="7" customFormat="1" x14ac:dyDescent="0.3">
      <c r="A13" s="7" t="s">
        <v>43</v>
      </c>
      <c r="B13" s="8">
        <f>B8*40%</f>
        <v>0</v>
      </c>
      <c r="C13" s="9">
        <f>C8*83%</f>
        <v>18831372</v>
      </c>
      <c r="D13" s="9">
        <f t="shared" ref="D13:I13" si="4">D8*83%</f>
        <v>18831372</v>
      </c>
      <c r="E13" s="9">
        <f t="shared" si="4"/>
        <v>18831372</v>
      </c>
      <c r="F13" s="9">
        <f t="shared" si="4"/>
        <v>18831372</v>
      </c>
      <c r="G13" s="9">
        <f t="shared" si="4"/>
        <v>18831372</v>
      </c>
      <c r="H13" s="9">
        <f t="shared" si="4"/>
        <v>18831372</v>
      </c>
      <c r="I13" s="9">
        <f t="shared" si="4"/>
        <v>18831372</v>
      </c>
      <c r="J13" s="9">
        <f t="shared" ref="J13:V13" si="5">J8*50%</f>
        <v>11344200</v>
      </c>
      <c r="K13" s="9">
        <f t="shared" si="5"/>
        <v>11344200</v>
      </c>
      <c r="L13" s="9">
        <f t="shared" si="5"/>
        <v>11344200</v>
      </c>
      <c r="M13" s="9">
        <f t="shared" si="5"/>
        <v>11344200</v>
      </c>
      <c r="N13" s="9">
        <f t="shared" si="5"/>
        <v>11344200</v>
      </c>
      <c r="O13" s="9">
        <f t="shared" si="5"/>
        <v>11344200</v>
      </c>
      <c r="P13" s="9">
        <f t="shared" si="5"/>
        <v>11344200</v>
      </c>
      <c r="Q13" s="9">
        <f t="shared" si="5"/>
        <v>11344200</v>
      </c>
      <c r="R13" s="9">
        <f t="shared" si="5"/>
        <v>11344200</v>
      </c>
      <c r="S13" s="9">
        <f t="shared" si="5"/>
        <v>11344200</v>
      </c>
      <c r="T13" s="9">
        <f t="shared" si="5"/>
        <v>11344200</v>
      </c>
      <c r="U13" s="9">
        <f t="shared" si="5"/>
        <v>11344200</v>
      </c>
      <c r="V13" s="9">
        <f t="shared" si="5"/>
        <v>11344200</v>
      </c>
      <c r="W13" s="21">
        <f>SUM(C13:V13)</f>
        <v>279294204</v>
      </c>
    </row>
    <row r="14" spans="1:23" s="26" customFormat="1" x14ac:dyDescent="0.3">
      <c r="B14" s="27">
        <f>B13-B9</f>
        <v>-130000000</v>
      </c>
      <c r="C14" s="27">
        <f t="shared" ref="C14:V14" si="6">C13-C9</f>
        <v>18831372</v>
      </c>
      <c r="D14" s="27">
        <f t="shared" si="6"/>
        <v>18831372</v>
      </c>
      <c r="E14" s="27">
        <f t="shared" si="6"/>
        <v>18831372</v>
      </c>
      <c r="F14" s="27">
        <f t="shared" si="6"/>
        <v>18831372</v>
      </c>
      <c r="G14" s="27">
        <f t="shared" si="6"/>
        <v>18831372</v>
      </c>
      <c r="H14" s="27">
        <f t="shared" si="6"/>
        <v>18831372</v>
      </c>
      <c r="I14" s="27">
        <f t="shared" si="6"/>
        <v>18831372</v>
      </c>
      <c r="J14" s="27">
        <f t="shared" si="6"/>
        <v>11344200</v>
      </c>
      <c r="K14" s="27">
        <f t="shared" si="6"/>
        <v>11344200</v>
      </c>
      <c r="L14" s="27">
        <f t="shared" si="6"/>
        <v>11344200</v>
      </c>
      <c r="M14" s="27">
        <f t="shared" si="6"/>
        <v>11344200</v>
      </c>
      <c r="N14" s="27">
        <f t="shared" si="6"/>
        <v>11344200</v>
      </c>
      <c r="O14" s="27">
        <f t="shared" si="6"/>
        <v>11344200</v>
      </c>
      <c r="P14" s="27">
        <f t="shared" si="6"/>
        <v>11344200</v>
      </c>
      <c r="Q14" s="27">
        <f t="shared" si="6"/>
        <v>11344200</v>
      </c>
      <c r="R14" s="27">
        <f t="shared" si="6"/>
        <v>11344200</v>
      </c>
      <c r="S14" s="27">
        <f t="shared" si="6"/>
        <v>11344200</v>
      </c>
      <c r="T14" s="27">
        <f t="shared" si="6"/>
        <v>11344200</v>
      </c>
      <c r="U14" s="27">
        <f t="shared" si="6"/>
        <v>11344200</v>
      </c>
      <c r="V14" s="27">
        <f t="shared" si="6"/>
        <v>11344200</v>
      </c>
    </row>
    <row r="15" spans="1:23" s="26" customFormat="1" x14ac:dyDescent="0.3">
      <c r="A15" s="26" t="s">
        <v>10</v>
      </c>
      <c r="B15" s="27" t="s">
        <v>11</v>
      </c>
      <c r="C15" s="27" t="s">
        <v>12</v>
      </c>
      <c r="D15" s="27" t="s">
        <v>13</v>
      </c>
      <c r="E15" s="27" t="s">
        <v>14</v>
      </c>
      <c r="F15" s="27" t="s">
        <v>15</v>
      </c>
      <c r="G15" s="27" t="s">
        <v>16</v>
      </c>
      <c r="H15" s="27" t="s">
        <v>17</v>
      </c>
      <c r="I15" s="27" t="s">
        <v>18</v>
      </c>
      <c r="J15" s="27" t="s">
        <v>19</v>
      </c>
      <c r="K15" s="27" t="s">
        <v>20</v>
      </c>
      <c r="L15" s="27" t="s">
        <v>21</v>
      </c>
      <c r="M15" s="27" t="s">
        <v>22</v>
      </c>
      <c r="N15" s="27" t="s">
        <v>23</v>
      </c>
      <c r="O15" s="27" t="s">
        <v>24</v>
      </c>
      <c r="P15" s="27" t="s">
        <v>25</v>
      </c>
      <c r="Q15" s="27" t="s">
        <v>26</v>
      </c>
      <c r="R15" s="27" t="s">
        <v>27</v>
      </c>
      <c r="S15" s="27" t="s">
        <v>28</v>
      </c>
      <c r="T15" s="27" t="s">
        <v>29</v>
      </c>
      <c r="U15" s="27" t="s">
        <v>30</v>
      </c>
      <c r="V15" s="27" t="s">
        <v>31</v>
      </c>
    </row>
    <row r="16" spans="1:23" s="26" customFormat="1" x14ac:dyDescent="0.3">
      <c r="A16" s="26" t="s">
        <v>53</v>
      </c>
      <c r="B16" s="26">
        <v>150000000</v>
      </c>
      <c r="C16" s="26">
        <f>0+B16</f>
        <v>150000000</v>
      </c>
      <c r="D16" s="26">
        <f t="shared" ref="D16:V16" si="7">0+C16</f>
        <v>150000000</v>
      </c>
      <c r="E16" s="26">
        <f t="shared" si="7"/>
        <v>150000000</v>
      </c>
      <c r="F16" s="26">
        <f t="shared" si="7"/>
        <v>150000000</v>
      </c>
      <c r="G16" s="26">
        <f t="shared" si="7"/>
        <v>150000000</v>
      </c>
      <c r="H16" s="26">
        <f t="shared" si="7"/>
        <v>150000000</v>
      </c>
      <c r="I16" s="26">
        <f t="shared" si="7"/>
        <v>150000000</v>
      </c>
      <c r="J16" s="26">
        <f t="shared" si="7"/>
        <v>150000000</v>
      </c>
      <c r="K16" s="26">
        <f t="shared" si="7"/>
        <v>150000000</v>
      </c>
      <c r="L16" s="26">
        <f t="shared" si="7"/>
        <v>150000000</v>
      </c>
      <c r="M16" s="26">
        <f t="shared" si="7"/>
        <v>150000000</v>
      </c>
      <c r="N16" s="26">
        <f t="shared" si="7"/>
        <v>150000000</v>
      </c>
      <c r="O16" s="26">
        <f t="shared" si="7"/>
        <v>150000000</v>
      </c>
      <c r="P16" s="26">
        <f t="shared" si="7"/>
        <v>150000000</v>
      </c>
      <c r="Q16" s="26">
        <f t="shared" si="7"/>
        <v>150000000</v>
      </c>
      <c r="R16" s="26">
        <f t="shared" si="7"/>
        <v>150000000</v>
      </c>
      <c r="S16" s="26">
        <f t="shared" si="7"/>
        <v>150000000</v>
      </c>
      <c r="T16" s="26">
        <f t="shared" si="7"/>
        <v>150000000</v>
      </c>
      <c r="U16" s="26">
        <f t="shared" si="7"/>
        <v>150000000</v>
      </c>
      <c r="V16" s="26">
        <f t="shared" si="7"/>
        <v>150000000</v>
      </c>
    </row>
    <row r="17" spans="1:22" s="26" customFormat="1" x14ac:dyDescent="0.3">
      <c r="A17" s="26" t="s">
        <v>52</v>
      </c>
      <c r="B17" s="26">
        <v>0</v>
      </c>
      <c r="C17" s="26">
        <f>C14</f>
        <v>18831372</v>
      </c>
      <c r="D17" s="26">
        <f t="shared" ref="D17:V17" si="8">C17+D14</f>
        <v>37662744</v>
      </c>
      <c r="E17" s="26">
        <f t="shared" si="8"/>
        <v>56494116</v>
      </c>
      <c r="F17" s="26">
        <f t="shared" si="8"/>
        <v>75325488</v>
      </c>
      <c r="G17" s="26">
        <f t="shared" si="8"/>
        <v>94156860</v>
      </c>
      <c r="H17" s="26">
        <f t="shared" si="8"/>
        <v>112988232</v>
      </c>
      <c r="I17" s="26">
        <f t="shared" si="8"/>
        <v>131819604</v>
      </c>
      <c r="J17" s="26">
        <f t="shared" si="8"/>
        <v>143163804</v>
      </c>
      <c r="K17" s="26">
        <f t="shared" si="8"/>
        <v>154508004</v>
      </c>
      <c r="L17" s="26">
        <f t="shared" si="8"/>
        <v>165852204</v>
      </c>
      <c r="M17" s="26">
        <f t="shared" si="8"/>
        <v>177196404</v>
      </c>
      <c r="N17" s="26">
        <f t="shared" si="8"/>
        <v>188540604</v>
      </c>
      <c r="O17" s="26">
        <f t="shared" si="8"/>
        <v>199884804</v>
      </c>
      <c r="P17" s="26">
        <f t="shared" si="8"/>
        <v>211229004</v>
      </c>
      <c r="Q17" s="26">
        <f t="shared" si="8"/>
        <v>222573204</v>
      </c>
      <c r="R17" s="26">
        <f t="shared" si="8"/>
        <v>233917404</v>
      </c>
      <c r="S17" s="26">
        <f t="shared" si="8"/>
        <v>245261604</v>
      </c>
      <c r="T17" s="26">
        <f t="shared" si="8"/>
        <v>256605804</v>
      </c>
      <c r="U17" s="26">
        <f t="shared" si="8"/>
        <v>267950004</v>
      </c>
      <c r="V17" s="26">
        <f t="shared" si="8"/>
        <v>279294204</v>
      </c>
    </row>
    <row r="18" spans="1:22" s="16" customFormat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6" customFormat="1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6" customFormat="1" x14ac:dyDescent="0.3">
      <c r="A20" s="18" t="s">
        <v>41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s="13" t="s">
        <v>35</v>
      </c>
      <c r="B21" s="14">
        <f>NPV(0.075,B9,B13:V13)</f>
        <v>255320639.46817195</v>
      </c>
      <c r="C21" s="20">
        <f>B21/B11</f>
        <v>1.9640049189859381</v>
      </c>
      <c r="D21" t="s">
        <v>40</v>
      </c>
    </row>
    <row r="22" spans="1:22" x14ac:dyDescent="0.3">
      <c r="A22" s="13" t="s">
        <v>36</v>
      </c>
      <c r="B22" s="15">
        <f>IRR(B14:V14,0.075)</f>
        <v>0.10396779371123288</v>
      </c>
    </row>
    <row r="23" spans="1:22" x14ac:dyDescent="0.3">
      <c r="A23" s="13" t="s">
        <v>45</v>
      </c>
      <c r="B23" s="25">
        <v>7</v>
      </c>
      <c r="C23" s="24" t="s">
        <v>73</v>
      </c>
      <c r="D23" t="s">
        <v>46</v>
      </c>
      <c r="E23" t="s">
        <v>46</v>
      </c>
    </row>
    <row r="24" spans="1:22" x14ac:dyDescent="0.3">
      <c r="A24" s="18" t="s">
        <v>37</v>
      </c>
      <c r="B24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showGridLines="0" topLeftCell="A19" zoomScale="70" zoomScaleNormal="70" workbookViewId="0">
      <selection activeCell="K31" sqref="K31"/>
    </sheetView>
  </sheetViews>
  <sheetFormatPr defaultRowHeight="14.4" x14ac:dyDescent="0.3"/>
  <cols>
    <col min="1" max="1" width="53.6640625" bestFit="1" customWidth="1"/>
    <col min="2" max="2" width="16.77734375" customWidth="1"/>
    <col min="3" max="3" width="14.77734375" customWidth="1"/>
    <col min="4" max="4" width="15.5546875" customWidth="1"/>
    <col min="5" max="5" width="14.6640625" customWidth="1"/>
    <col min="6" max="19" width="14.5546875" bestFit="1" customWidth="1"/>
    <col min="20" max="20" width="15.21875" customWidth="1"/>
    <col min="21" max="21" width="14.6640625" customWidth="1"/>
    <col min="22" max="22" width="15.33203125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4500*5</f>
        <v>22500</v>
      </c>
      <c r="C2" s="1" t="s">
        <v>72</v>
      </c>
      <c r="D2" s="1"/>
    </row>
    <row r="3" spans="1:23" x14ac:dyDescent="0.3">
      <c r="A3" s="3" t="s">
        <v>55</v>
      </c>
      <c r="B3" s="3">
        <v>365</v>
      </c>
      <c r="C3" s="1" t="s">
        <v>3</v>
      </c>
      <c r="D3" s="1"/>
    </row>
    <row r="4" spans="1:23" x14ac:dyDescent="0.3">
      <c r="A4" s="1" t="s">
        <v>6</v>
      </c>
      <c r="B4" s="22">
        <v>3.7</v>
      </c>
      <c r="C4" s="1" t="s">
        <v>56</v>
      </c>
      <c r="D4" s="1"/>
    </row>
    <row r="6" spans="1:23" s="6" customFormat="1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 t="s">
        <v>23</v>
      </c>
      <c r="O6" s="6" t="s">
        <v>24</v>
      </c>
      <c r="P6" s="6" t="s">
        <v>25</v>
      </c>
      <c r="Q6" s="6" t="s">
        <v>26</v>
      </c>
      <c r="R6" s="6" t="s">
        <v>27</v>
      </c>
      <c r="S6" s="6" t="s">
        <v>28</v>
      </c>
      <c r="T6" s="6" t="s">
        <v>29</v>
      </c>
      <c r="U6" s="6" t="s">
        <v>30</v>
      </c>
      <c r="V6" s="6" t="s">
        <v>31</v>
      </c>
    </row>
    <row r="7" spans="1:23" x14ac:dyDescent="0.3">
      <c r="A7" t="s">
        <v>33</v>
      </c>
    </row>
    <row r="8" spans="1:23" x14ac:dyDescent="0.3">
      <c r="A8" s="7" t="s">
        <v>34</v>
      </c>
      <c r="B8" s="8">
        <v>0</v>
      </c>
      <c r="C8" s="8">
        <f>($B$2*$B$3*$B$4)</f>
        <v>30386250</v>
      </c>
      <c r="D8" s="8">
        <f t="shared" ref="D8:V8" si="0">($B$2*$B$3*$B$4)</f>
        <v>30386250</v>
      </c>
      <c r="E8" s="8">
        <f t="shared" si="0"/>
        <v>30386250</v>
      </c>
      <c r="F8" s="8">
        <f t="shared" si="0"/>
        <v>30386250</v>
      </c>
      <c r="G8" s="8">
        <f t="shared" si="0"/>
        <v>30386250</v>
      </c>
      <c r="H8" s="8">
        <f t="shared" si="0"/>
        <v>30386250</v>
      </c>
      <c r="I8" s="8">
        <f t="shared" si="0"/>
        <v>30386250</v>
      </c>
      <c r="J8" s="8">
        <f t="shared" si="0"/>
        <v>30386250</v>
      </c>
      <c r="K8" s="8">
        <f t="shared" si="0"/>
        <v>30386250</v>
      </c>
      <c r="L8" s="8">
        <f t="shared" si="0"/>
        <v>30386250</v>
      </c>
      <c r="M8" s="8">
        <f t="shared" si="0"/>
        <v>30386250</v>
      </c>
      <c r="N8" s="8">
        <f t="shared" si="0"/>
        <v>30386250</v>
      </c>
      <c r="O8" s="8">
        <f t="shared" si="0"/>
        <v>30386250</v>
      </c>
      <c r="P8" s="8">
        <f t="shared" si="0"/>
        <v>30386250</v>
      </c>
      <c r="Q8" s="8">
        <f t="shared" si="0"/>
        <v>30386250</v>
      </c>
      <c r="R8" s="8">
        <f t="shared" si="0"/>
        <v>30386250</v>
      </c>
      <c r="S8" s="8">
        <f t="shared" si="0"/>
        <v>30386250</v>
      </c>
      <c r="T8" s="8">
        <f t="shared" si="0"/>
        <v>30386250</v>
      </c>
      <c r="U8" s="8">
        <f t="shared" si="0"/>
        <v>30386250</v>
      </c>
      <c r="V8" s="8">
        <f t="shared" si="0"/>
        <v>30386250</v>
      </c>
      <c r="W8" s="11">
        <f>SUM(B8:V8)</f>
        <v>607725000</v>
      </c>
    </row>
    <row r="9" spans="1:23" s="6" customFormat="1" x14ac:dyDescent="0.3">
      <c r="A9" s="7" t="s">
        <v>39</v>
      </c>
      <c r="B9" s="8">
        <v>150000000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f t="shared" ref="W9:W10" si="1">SUM(B9:V9)</f>
        <v>150000000</v>
      </c>
    </row>
    <row r="10" spans="1:23" x14ac:dyDescent="0.3">
      <c r="A10" t="s">
        <v>32</v>
      </c>
      <c r="W10" s="11">
        <f t="shared" si="1"/>
        <v>0</v>
      </c>
    </row>
    <row r="11" spans="1:23" s="7" customFormat="1" x14ac:dyDescent="0.3">
      <c r="A11" s="7" t="s">
        <v>44</v>
      </c>
      <c r="B11" s="12">
        <f>B9</f>
        <v>150000000</v>
      </c>
      <c r="C11" s="9">
        <f>C8*17%</f>
        <v>5165662.5</v>
      </c>
      <c r="D11" s="9">
        <f t="shared" ref="D11:J11" si="2">D8*17%</f>
        <v>5165662.5</v>
      </c>
      <c r="E11" s="9">
        <f t="shared" si="2"/>
        <v>5165662.5</v>
      </c>
      <c r="F11" s="9">
        <f t="shared" si="2"/>
        <v>5165662.5</v>
      </c>
      <c r="G11" s="9">
        <f t="shared" si="2"/>
        <v>5165662.5</v>
      </c>
      <c r="H11" s="9">
        <f t="shared" si="2"/>
        <v>5165662.5</v>
      </c>
      <c r="I11" s="9">
        <f t="shared" si="2"/>
        <v>5165662.5</v>
      </c>
      <c r="J11" s="9">
        <f t="shared" si="2"/>
        <v>5165662.5</v>
      </c>
      <c r="K11" s="9">
        <f>((K8/12*17%)*2)+((K8/12*50%)*10)</f>
        <v>13521881.25</v>
      </c>
      <c r="L11" s="9">
        <f t="shared" ref="L11:U11" si="3">L8*50%</f>
        <v>15193125</v>
      </c>
      <c r="M11" s="9">
        <f t="shared" si="3"/>
        <v>15193125</v>
      </c>
      <c r="N11" s="9">
        <f t="shared" si="3"/>
        <v>15193125</v>
      </c>
      <c r="O11" s="9">
        <f t="shared" si="3"/>
        <v>15193125</v>
      </c>
      <c r="P11" s="9">
        <f t="shared" si="3"/>
        <v>15193125</v>
      </c>
      <c r="Q11" s="9">
        <f t="shared" si="3"/>
        <v>15193125</v>
      </c>
      <c r="R11" s="9">
        <f t="shared" si="3"/>
        <v>15193125</v>
      </c>
      <c r="S11" s="9">
        <f t="shared" si="3"/>
        <v>15193125</v>
      </c>
      <c r="T11" s="9">
        <f t="shared" si="3"/>
        <v>15193125</v>
      </c>
      <c r="U11" s="9">
        <f t="shared" si="3"/>
        <v>15193125</v>
      </c>
      <c r="V11" s="9">
        <f>V8*50%</f>
        <v>15193125</v>
      </c>
      <c r="W11" s="11">
        <f>SUM(C11:V11)</f>
        <v>221971556.25</v>
      </c>
    </row>
    <row r="12" spans="1:23" s="7" customFormat="1" x14ac:dyDescent="0.3">
      <c r="A12" s="7" t="s">
        <v>38</v>
      </c>
      <c r="B12" s="19">
        <v>20000000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>SUM(B12:V12)</f>
        <v>20000000</v>
      </c>
    </row>
    <row r="13" spans="1:23" s="7" customFormat="1" x14ac:dyDescent="0.3">
      <c r="A13" s="7" t="s">
        <v>43</v>
      </c>
      <c r="B13" s="8">
        <f>B8*40%</f>
        <v>0</v>
      </c>
      <c r="C13" s="9">
        <f>C8*83%</f>
        <v>25220587.5</v>
      </c>
      <c r="D13" s="9">
        <f t="shared" ref="D13:G13" si="4">D8*83%</f>
        <v>25220587.5</v>
      </c>
      <c r="E13" s="9">
        <f t="shared" si="4"/>
        <v>25220587.5</v>
      </c>
      <c r="F13" s="9">
        <f t="shared" si="4"/>
        <v>25220587.5</v>
      </c>
      <c r="G13" s="9">
        <f t="shared" si="4"/>
        <v>25220587.5</v>
      </c>
      <c r="H13" s="9">
        <f>(H8/12*83%)*11+(H8/12*50%)*1</f>
        <v>24384965.625</v>
      </c>
      <c r="I13" s="9">
        <f t="shared" ref="I13:J13" si="5">((I8/12*83%)*2)+((I8/12*50%)*10)</f>
        <v>16864368.75</v>
      </c>
      <c r="J13" s="9">
        <f t="shared" si="5"/>
        <v>16864368.75</v>
      </c>
      <c r="K13" s="9">
        <f>((K8/12*83%)*2)+((K8/12*50%)*10)</f>
        <v>16864368.75</v>
      </c>
      <c r="L13" s="9">
        <f t="shared" ref="L13:V13" si="6">L8*50%</f>
        <v>15193125</v>
      </c>
      <c r="M13" s="9">
        <f t="shared" si="6"/>
        <v>15193125</v>
      </c>
      <c r="N13" s="9">
        <f t="shared" si="6"/>
        <v>15193125</v>
      </c>
      <c r="O13" s="9">
        <f t="shared" si="6"/>
        <v>15193125</v>
      </c>
      <c r="P13" s="9">
        <f t="shared" si="6"/>
        <v>15193125</v>
      </c>
      <c r="Q13" s="9">
        <f t="shared" si="6"/>
        <v>15193125</v>
      </c>
      <c r="R13" s="9">
        <f t="shared" si="6"/>
        <v>15193125</v>
      </c>
      <c r="S13" s="9">
        <f t="shared" si="6"/>
        <v>15193125</v>
      </c>
      <c r="T13" s="9">
        <f t="shared" si="6"/>
        <v>15193125</v>
      </c>
      <c r="U13" s="9">
        <f t="shared" si="6"/>
        <v>15193125</v>
      </c>
      <c r="V13" s="9">
        <f t="shared" si="6"/>
        <v>15193125</v>
      </c>
      <c r="W13" s="21">
        <f>SUM(C13:V13)</f>
        <v>368205384.375</v>
      </c>
    </row>
    <row r="14" spans="1:23" s="26" customFormat="1" x14ac:dyDescent="0.3">
      <c r="B14" s="27">
        <f>B13-B9</f>
        <v>-150000000</v>
      </c>
      <c r="C14" s="27">
        <f t="shared" ref="C14:V14" si="7">C13-C9</f>
        <v>25220587.5</v>
      </c>
      <c r="D14" s="27">
        <f t="shared" si="7"/>
        <v>25220587.5</v>
      </c>
      <c r="E14" s="27">
        <f t="shared" si="7"/>
        <v>25220587.5</v>
      </c>
      <c r="F14" s="27">
        <f t="shared" si="7"/>
        <v>25220587.5</v>
      </c>
      <c r="G14" s="27">
        <f t="shared" si="7"/>
        <v>25220587.5</v>
      </c>
      <c r="H14" s="27">
        <f t="shared" si="7"/>
        <v>24384965.625</v>
      </c>
      <c r="I14" s="27">
        <f t="shared" si="7"/>
        <v>16864368.75</v>
      </c>
      <c r="J14" s="27">
        <f t="shared" si="7"/>
        <v>16864368.75</v>
      </c>
      <c r="K14" s="27">
        <f t="shared" si="7"/>
        <v>16864368.75</v>
      </c>
      <c r="L14" s="27">
        <f t="shared" si="7"/>
        <v>15193125</v>
      </c>
      <c r="M14" s="27">
        <f t="shared" si="7"/>
        <v>15193125</v>
      </c>
      <c r="N14" s="27">
        <f t="shared" si="7"/>
        <v>15193125</v>
      </c>
      <c r="O14" s="27">
        <f t="shared" si="7"/>
        <v>15193125</v>
      </c>
      <c r="P14" s="27">
        <f t="shared" si="7"/>
        <v>15193125</v>
      </c>
      <c r="Q14" s="27">
        <f t="shared" si="7"/>
        <v>15193125</v>
      </c>
      <c r="R14" s="27">
        <f t="shared" si="7"/>
        <v>15193125</v>
      </c>
      <c r="S14" s="27">
        <f t="shared" si="7"/>
        <v>15193125</v>
      </c>
      <c r="T14" s="27">
        <f t="shared" si="7"/>
        <v>15193125</v>
      </c>
      <c r="U14" s="27">
        <f t="shared" si="7"/>
        <v>15193125</v>
      </c>
      <c r="V14" s="27">
        <f t="shared" si="7"/>
        <v>15193125</v>
      </c>
    </row>
    <row r="15" spans="1:23" s="26" customFormat="1" x14ac:dyDescent="0.3">
      <c r="A15" s="26" t="s">
        <v>10</v>
      </c>
      <c r="B15" s="27" t="s">
        <v>11</v>
      </c>
      <c r="C15" s="27" t="s">
        <v>12</v>
      </c>
      <c r="D15" s="27" t="s">
        <v>13</v>
      </c>
      <c r="E15" s="27" t="s">
        <v>14</v>
      </c>
      <c r="F15" s="27" t="s">
        <v>15</v>
      </c>
      <c r="G15" s="27" t="s">
        <v>16</v>
      </c>
      <c r="H15" s="27" t="s">
        <v>17</v>
      </c>
      <c r="I15" s="27" t="s">
        <v>18</v>
      </c>
      <c r="J15" s="27" t="s">
        <v>19</v>
      </c>
      <c r="K15" s="27" t="s">
        <v>20</v>
      </c>
      <c r="L15" s="27" t="s">
        <v>21</v>
      </c>
      <c r="M15" s="27" t="s">
        <v>22</v>
      </c>
      <c r="N15" s="27" t="s">
        <v>23</v>
      </c>
      <c r="O15" s="27" t="s">
        <v>24</v>
      </c>
      <c r="P15" s="27" t="s">
        <v>25</v>
      </c>
      <c r="Q15" s="27" t="s">
        <v>26</v>
      </c>
      <c r="R15" s="27" t="s">
        <v>27</v>
      </c>
      <c r="S15" s="27" t="s">
        <v>28</v>
      </c>
      <c r="T15" s="27" t="s">
        <v>29</v>
      </c>
      <c r="U15" s="27" t="s">
        <v>30</v>
      </c>
      <c r="V15" s="27" t="s">
        <v>31</v>
      </c>
    </row>
    <row r="16" spans="1:23" s="26" customFormat="1" x14ac:dyDescent="0.3">
      <c r="A16" s="26" t="s">
        <v>53</v>
      </c>
      <c r="B16" s="26">
        <v>150000000</v>
      </c>
      <c r="C16" s="26">
        <f>0+B16</f>
        <v>150000000</v>
      </c>
      <c r="D16" s="26">
        <f t="shared" ref="D16:V16" si="8">0+C16</f>
        <v>150000000</v>
      </c>
      <c r="E16" s="26">
        <f t="shared" si="8"/>
        <v>150000000</v>
      </c>
      <c r="F16" s="26">
        <f t="shared" si="8"/>
        <v>150000000</v>
      </c>
      <c r="G16" s="26">
        <f t="shared" si="8"/>
        <v>150000000</v>
      </c>
      <c r="H16" s="26">
        <f t="shared" si="8"/>
        <v>150000000</v>
      </c>
      <c r="I16" s="26">
        <f t="shared" si="8"/>
        <v>150000000</v>
      </c>
      <c r="J16" s="26">
        <f t="shared" si="8"/>
        <v>150000000</v>
      </c>
      <c r="K16" s="26">
        <f t="shared" si="8"/>
        <v>150000000</v>
      </c>
      <c r="L16" s="26">
        <f t="shared" si="8"/>
        <v>150000000</v>
      </c>
      <c r="M16" s="26">
        <f t="shared" si="8"/>
        <v>150000000</v>
      </c>
      <c r="N16" s="26">
        <f t="shared" si="8"/>
        <v>150000000</v>
      </c>
      <c r="O16" s="26">
        <f t="shared" si="8"/>
        <v>150000000</v>
      </c>
      <c r="P16" s="26">
        <f t="shared" si="8"/>
        <v>150000000</v>
      </c>
      <c r="Q16" s="26">
        <f t="shared" si="8"/>
        <v>150000000</v>
      </c>
      <c r="R16" s="26">
        <f t="shared" si="8"/>
        <v>150000000</v>
      </c>
      <c r="S16" s="26">
        <f t="shared" si="8"/>
        <v>150000000</v>
      </c>
      <c r="T16" s="26">
        <f t="shared" si="8"/>
        <v>150000000</v>
      </c>
      <c r="U16" s="26">
        <f t="shared" si="8"/>
        <v>150000000</v>
      </c>
      <c r="V16" s="26">
        <f t="shared" si="8"/>
        <v>150000000</v>
      </c>
    </row>
    <row r="17" spans="1:22" s="26" customFormat="1" x14ac:dyDescent="0.3">
      <c r="A17" s="26" t="s">
        <v>52</v>
      </c>
      <c r="B17" s="26">
        <v>0</v>
      </c>
      <c r="C17" s="26">
        <f>C14</f>
        <v>25220587.5</v>
      </c>
      <c r="D17" s="26">
        <f t="shared" ref="D17:V17" si="9">C17+D14</f>
        <v>50441175</v>
      </c>
      <c r="E17" s="26">
        <f t="shared" si="9"/>
        <v>75661762.5</v>
      </c>
      <c r="F17" s="26">
        <f t="shared" si="9"/>
        <v>100882350</v>
      </c>
      <c r="G17" s="26">
        <f t="shared" si="9"/>
        <v>126102937.5</v>
      </c>
      <c r="H17" s="26">
        <f t="shared" si="9"/>
        <v>150487903.125</v>
      </c>
      <c r="I17" s="26">
        <f t="shared" si="9"/>
        <v>167352271.875</v>
      </c>
      <c r="J17" s="26">
        <f t="shared" si="9"/>
        <v>184216640.625</v>
      </c>
      <c r="K17" s="26">
        <f t="shared" si="9"/>
        <v>201081009.375</v>
      </c>
      <c r="L17" s="26">
        <f t="shared" si="9"/>
        <v>216274134.375</v>
      </c>
      <c r="M17" s="26">
        <f t="shared" si="9"/>
        <v>231467259.375</v>
      </c>
      <c r="N17" s="26">
        <f t="shared" si="9"/>
        <v>246660384.375</v>
      </c>
      <c r="O17" s="26">
        <f t="shared" si="9"/>
        <v>261853509.375</v>
      </c>
      <c r="P17" s="26">
        <f t="shared" si="9"/>
        <v>277046634.375</v>
      </c>
      <c r="Q17" s="26">
        <f t="shared" si="9"/>
        <v>292239759.375</v>
      </c>
      <c r="R17" s="26">
        <f t="shared" si="9"/>
        <v>307432884.375</v>
      </c>
      <c r="S17" s="26">
        <f t="shared" si="9"/>
        <v>322626009.375</v>
      </c>
      <c r="T17" s="26">
        <f t="shared" si="9"/>
        <v>337819134.375</v>
      </c>
      <c r="U17" s="26">
        <f t="shared" si="9"/>
        <v>353012259.375</v>
      </c>
      <c r="V17" s="26">
        <f t="shared" si="9"/>
        <v>368205384.375</v>
      </c>
    </row>
    <row r="18" spans="1:22" s="16" customFormat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6" customFormat="1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6" customFormat="1" x14ac:dyDescent="0.3">
      <c r="A20" s="18" t="s">
        <v>41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s="13" t="s">
        <v>35</v>
      </c>
      <c r="B21" s="14">
        <f>NPV(0.075,B9,B13:V13)</f>
        <v>316260216.98898739</v>
      </c>
      <c r="C21" s="20">
        <f>B21/B11</f>
        <v>2.1084014465932492</v>
      </c>
      <c r="D21" t="s">
        <v>40</v>
      </c>
    </row>
    <row r="22" spans="1:22" x14ac:dyDescent="0.3">
      <c r="A22" s="13" t="s">
        <v>36</v>
      </c>
      <c r="B22" s="15">
        <f>IRR(B14:V14,0.075)</f>
        <v>0.12780765293650109</v>
      </c>
    </row>
    <row r="23" spans="1:22" x14ac:dyDescent="0.3">
      <c r="A23" s="13" t="s">
        <v>45</v>
      </c>
      <c r="B23" s="25">
        <v>5.92</v>
      </c>
      <c r="C23" s="24" t="s">
        <v>69</v>
      </c>
      <c r="D23" t="s">
        <v>46</v>
      </c>
      <c r="E23" t="s">
        <v>46</v>
      </c>
    </row>
    <row r="24" spans="1:22" x14ac:dyDescent="0.3">
      <c r="A24" s="18" t="s">
        <v>37</v>
      </c>
      <c r="B24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topLeftCell="A3" zoomScale="115" workbookViewId="0">
      <selection activeCell="C18" sqref="C18"/>
    </sheetView>
  </sheetViews>
  <sheetFormatPr defaultRowHeight="14.4" x14ac:dyDescent="0.3"/>
  <cols>
    <col min="1" max="1" width="53.6640625" bestFit="1" customWidth="1"/>
    <col min="2" max="2" width="18.44140625" customWidth="1"/>
    <col min="3" max="3" width="14.77734375" customWidth="1"/>
    <col min="4" max="4" width="15.44140625" customWidth="1"/>
    <col min="5" max="5" width="15.5546875" customWidth="1"/>
    <col min="6" max="19" width="14.5546875" bestFit="1" customWidth="1"/>
    <col min="20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4500*5</f>
        <v>22500</v>
      </c>
      <c r="C2" s="1" t="s">
        <v>72</v>
      </c>
      <c r="D2" s="1"/>
    </row>
    <row r="3" spans="1:23" x14ac:dyDescent="0.3">
      <c r="A3" s="3" t="s">
        <v>55</v>
      </c>
      <c r="B3" s="3">
        <v>365</v>
      </c>
      <c r="C3" s="1" t="s">
        <v>3</v>
      </c>
      <c r="D3" s="1"/>
    </row>
    <row r="4" spans="1:23" x14ac:dyDescent="0.3">
      <c r="A4" s="1" t="s">
        <v>6</v>
      </c>
      <c r="B4" s="22">
        <v>3.7</v>
      </c>
      <c r="C4" s="1" t="s">
        <v>56</v>
      </c>
      <c r="D4" s="1"/>
    </row>
    <row r="6" spans="1:23" s="6" customFormat="1" x14ac:dyDescent="0.3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  <c r="J6" s="6" t="s">
        <v>19</v>
      </c>
      <c r="K6" s="6" t="s">
        <v>20</v>
      </c>
      <c r="L6" s="6" t="s">
        <v>21</v>
      </c>
      <c r="M6" s="6" t="s">
        <v>22</v>
      </c>
      <c r="N6" s="6" t="s">
        <v>23</v>
      </c>
      <c r="O6" s="6" t="s">
        <v>24</v>
      </c>
      <c r="P6" s="6" t="s">
        <v>25</v>
      </c>
      <c r="Q6" s="6" t="s">
        <v>26</v>
      </c>
      <c r="R6" s="6" t="s">
        <v>27</v>
      </c>
      <c r="S6" s="6" t="s">
        <v>28</v>
      </c>
      <c r="T6" s="6" t="s">
        <v>29</v>
      </c>
      <c r="U6" s="6" t="s">
        <v>30</v>
      </c>
      <c r="V6" s="6" t="s">
        <v>31</v>
      </c>
    </row>
    <row r="7" spans="1:23" x14ac:dyDescent="0.3">
      <c r="A7" t="s">
        <v>33</v>
      </c>
    </row>
    <row r="8" spans="1:23" x14ac:dyDescent="0.3">
      <c r="A8" s="7" t="s">
        <v>34</v>
      </c>
      <c r="B8" s="8">
        <v>0</v>
      </c>
      <c r="C8" s="8">
        <f>($B$2*$B$3*$B$4)</f>
        <v>30386250</v>
      </c>
      <c r="D8" s="8">
        <f t="shared" ref="D8:V8" si="0">($B$2*$B$3*$B$4)</f>
        <v>30386250</v>
      </c>
      <c r="E8" s="8">
        <f t="shared" si="0"/>
        <v>30386250</v>
      </c>
      <c r="F8" s="8">
        <f t="shared" si="0"/>
        <v>30386250</v>
      </c>
      <c r="G8" s="8">
        <f t="shared" si="0"/>
        <v>30386250</v>
      </c>
      <c r="H8" s="8">
        <f t="shared" si="0"/>
        <v>30386250</v>
      </c>
      <c r="I8" s="8">
        <f t="shared" si="0"/>
        <v>30386250</v>
      </c>
      <c r="J8" s="8">
        <f t="shared" si="0"/>
        <v>30386250</v>
      </c>
      <c r="K8" s="8">
        <f t="shared" si="0"/>
        <v>30386250</v>
      </c>
      <c r="L8" s="8">
        <f t="shared" si="0"/>
        <v>30386250</v>
      </c>
      <c r="M8" s="8">
        <f t="shared" si="0"/>
        <v>30386250</v>
      </c>
      <c r="N8" s="8">
        <f t="shared" si="0"/>
        <v>30386250</v>
      </c>
      <c r="O8" s="8">
        <f t="shared" si="0"/>
        <v>30386250</v>
      </c>
      <c r="P8" s="8">
        <f t="shared" si="0"/>
        <v>30386250</v>
      </c>
      <c r="Q8" s="8">
        <f t="shared" si="0"/>
        <v>30386250</v>
      </c>
      <c r="R8" s="8">
        <f t="shared" si="0"/>
        <v>30386250</v>
      </c>
      <c r="S8" s="8">
        <f t="shared" si="0"/>
        <v>30386250</v>
      </c>
      <c r="T8" s="8">
        <f t="shared" si="0"/>
        <v>30386250</v>
      </c>
      <c r="U8" s="8">
        <f t="shared" si="0"/>
        <v>30386250</v>
      </c>
      <c r="V8" s="8">
        <f t="shared" si="0"/>
        <v>30386250</v>
      </c>
      <c r="W8" s="11">
        <f>SUM(B8:V8)</f>
        <v>607725000</v>
      </c>
    </row>
    <row r="9" spans="1:23" s="6" customFormat="1" x14ac:dyDescent="0.3">
      <c r="A9" s="7" t="s">
        <v>39</v>
      </c>
      <c r="B9" s="8">
        <v>130000000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1">
        <f t="shared" ref="W9:W10" si="1">SUM(B9:V9)</f>
        <v>130000000</v>
      </c>
    </row>
    <row r="10" spans="1:23" x14ac:dyDescent="0.3">
      <c r="A10" t="s">
        <v>32</v>
      </c>
      <c r="W10" s="11">
        <f t="shared" si="1"/>
        <v>0</v>
      </c>
    </row>
    <row r="11" spans="1:23" s="7" customFormat="1" x14ac:dyDescent="0.3">
      <c r="A11" s="7" t="s">
        <v>44</v>
      </c>
      <c r="B11" s="12">
        <f>B9</f>
        <v>130000000</v>
      </c>
      <c r="C11" s="9">
        <f>C8*17%</f>
        <v>5165662.5</v>
      </c>
      <c r="D11" s="9">
        <f t="shared" ref="D11:G11" si="2">D8*17%</f>
        <v>5165662.5</v>
      </c>
      <c r="E11" s="9">
        <f t="shared" si="2"/>
        <v>5165662.5</v>
      </c>
      <c r="F11" s="9">
        <f t="shared" si="2"/>
        <v>5165662.5</v>
      </c>
      <c r="G11" s="9">
        <f t="shared" si="2"/>
        <v>5165662.5</v>
      </c>
      <c r="H11" s="9">
        <f>($H$8/12*17%)*2+($H$8/12*50%)*10</f>
        <v>13521881.25</v>
      </c>
      <c r="I11" s="9">
        <f t="shared" ref="I11:L11" si="3">I8*50%</f>
        <v>15193125</v>
      </c>
      <c r="J11" s="9">
        <f t="shared" si="3"/>
        <v>15193125</v>
      </c>
      <c r="K11" s="9">
        <f t="shared" si="3"/>
        <v>15193125</v>
      </c>
      <c r="L11" s="9">
        <f t="shared" si="3"/>
        <v>15193125</v>
      </c>
      <c r="M11" s="9">
        <f t="shared" ref="M11:U11" si="4">M8*50%</f>
        <v>15193125</v>
      </c>
      <c r="N11" s="9">
        <f t="shared" si="4"/>
        <v>15193125</v>
      </c>
      <c r="O11" s="9">
        <f t="shared" si="4"/>
        <v>15193125</v>
      </c>
      <c r="P11" s="9">
        <f t="shared" si="4"/>
        <v>15193125</v>
      </c>
      <c r="Q11" s="9">
        <f t="shared" si="4"/>
        <v>15193125</v>
      </c>
      <c r="R11" s="9">
        <f t="shared" si="4"/>
        <v>15193125</v>
      </c>
      <c r="S11" s="9">
        <f t="shared" si="4"/>
        <v>15193125</v>
      </c>
      <c r="T11" s="9">
        <f t="shared" si="4"/>
        <v>15193125</v>
      </c>
      <c r="U11" s="9">
        <f t="shared" si="4"/>
        <v>15193125</v>
      </c>
      <c r="V11" s="9">
        <f>V8*50%</f>
        <v>15193125</v>
      </c>
      <c r="W11" s="11">
        <f>SUM(C11:V11)</f>
        <v>252053943.75</v>
      </c>
    </row>
    <row r="12" spans="1:23" s="7" customFormat="1" x14ac:dyDescent="0.3">
      <c r="A12" s="7" t="s">
        <v>38</v>
      </c>
      <c r="B12" s="19">
        <v>20000000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f>SUM(B12:V12)</f>
        <v>20000000</v>
      </c>
    </row>
    <row r="13" spans="1:23" s="7" customFormat="1" x14ac:dyDescent="0.3">
      <c r="A13" s="7" t="s">
        <v>43</v>
      </c>
      <c r="B13" s="8">
        <f>B8*40%</f>
        <v>0</v>
      </c>
      <c r="C13" s="9">
        <f>C8*83%</f>
        <v>25220587.5</v>
      </c>
      <c r="D13" s="9">
        <f t="shared" ref="D13:G13" si="5">D8*83%</f>
        <v>25220587.5</v>
      </c>
      <c r="E13" s="9">
        <f t="shared" si="5"/>
        <v>25220587.5</v>
      </c>
      <c r="F13" s="9">
        <f t="shared" si="5"/>
        <v>25220587.5</v>
      </c>
      <c r="G13" s="9">
        <f t="shared" si="5"/>
        <v>25220587.5</v>
      </c>
      <c r="H13" s="9">
        <f>($H$8/12*83%)*2+($H$8/12*50%)*10</f>
        <v>16864368.75</v>
      </c>
      <c r="I13" s="9">
        <f t="shared" ref="I13:N13" si="6">I8*50%</f>
        <v>15193125</v>
      </c>
      <c r="J13" s="9">
        <f t="shared" si="6"/>
        <v>15193125</v>
      </c>
      <c r="K13" s="9">
        <f t="shared" si="6"/>
        <v>15193125</v>
      </c>
      <c r="L13" s="9">
        <f t="shared" si="6"/>
        <v>15193125</v>
      </c>
      <c r="M13" s="9">
        <f t="shared" si="6"/>
        <v>15193125</v>
      </c>
      <c r="N13" s="9">
        <f t="shared" si="6"/>
        <v>15193125</v>
      </c>
      <c r="O13" s="9">
        <f t="shared" ref="O13:V13" si="7">O8*50%</f>
        <v>15193125</v>
      </c>
      <c r="P13" s="9">
        <f t="shared" si="7"/>
        <v>15193125</v>
      </c>
      <c r="Q13" s="9">
        <f t="shared" si="7"/>
        <v>15193125</v>
      </c>
      <c r="R13" s="9">
        <f t="shared" si="7"/>
        <v>15193125</v>
      </c>
      <c r="S13" s="9">
        <f t="shared" si="7"/>
        <v>15193125</v>
      </c>
      <c r="T13" s="9">
        <f t="shared" si="7"/>
        <v>15193125</v>
      </c>
      <c r="U13" s="9">
        <f t="shared" si="7"/>
        <v>15193125</v>
      </c>
      <c r="V13" s="9">
        <f t="shared" si="7"/>
        <v>15193125</v>
      </c>
      <c r="W13" s="21">
        <f>SUM(C13:V13)</f>
        <v>355671056.25</v>
      </c>
    </row>
    <row r="14" spans="1:23" s="26" customFormat="1" x14ac:dyDescent="0.3">
      <c r="B14" s="27">
        <f>B13-B9</f>
        <v>-130000000</v>
      </c>
      <c r="C14" s="27">
        <f t="shared" ref="C14:V14" si="8">C13-C9</f>
        <v>25220587.5</v>
      </c>
      <c r="D14" s="27">
        <f t="shared" si="8"/>
        <v>25220587.5</v>
      </c>
      <c r="E14" s="27">
        <f t="shared" si="8"/>
        <v>25220587.5</v>
      </c>
      <c r="F14" s="27">
        <f t="shared" si="8"/>
        <v>25220587.5</v>
      </c>
      <c r="G14" s="27">
        <f t="shared" si="8"/>
        <v>25220587.5</v>
      </c>
      <c r="H14" s="27">
        <f t="shared" si="8"/>
        <v>16864368.75</v>
      </c>
      <c r="I14" s="27">
        <f t="shared" si="8"/>
        <v>15193125</v>
      </c>
      <c r="J14" s="27">
        <f t="shared" si="8"/>
        <v>15193125</v>
      </c>
      <c r="K14" s="27">
        <f t="shared" si="8"/>
        <v>15193125</v>
      </c>
      <c r="L14" s="27">
        <f t="shared" si="8"/>
        <v>15193125</v>
      </c>
      <c r="M14" s="27">
        <f t="shared" si="8"/>
        <v>15193125</v>
      </c>
      <c r="N14" s="27">
        <f t="shared" si="8"/>
        <v>15193125</v>
      </c>
      <c r="O14" s="27">
        <f t="shared" si="8"/>
        <v>15193125</v>
      </c>
      <c r="P14" s="27">
        <f t="shared" si="8"/>
        <v>15193125</v>
      </c>
      <c r="Q14" s="27">
        <f t="shared" si="8"/>
        <v>15193125</v>
      </c>
      <c r="R14" s="27">
        <f t="shared" si="8"/>
        <v>15193125</v>
      </c>
      <c r="S14" s="27">
        <f t="shared" si="8"/>
        <v>15193125</v>
      </c>
      <c r="T14" s="27">
        <f t="shared" si="8"/>
        <v>15193125</v>
      </c>
      <c r="U14" s="27">
        <f t="shared" si="8"/>
        <v>15193125</v>
      </c>
      <c r="V14" s="27">
        <f t="shared" si="8"/>
        <v>15193125</v>
      </c>
    </row>
    <row r="15" spans="1:23" s="26" customFormat="1" x14ac:dyDescent="0.3">
      <c r="A15" s="26" t="s">
        <v>10</v>
      </c>
      <c r="B15" s="27" t="s">
        <v>11</v>
      </c>
      <c r="C15" s="27" t="s">
        <v>12</v>
      </c>
      <c r="D15" s="27" t="s">
        <v>13</v>
      </c>
      <c r="E15" s="27" t="s">
        <v>14</v>
      </c>
      <c r="F15" s="27" t="s">
        <v>15</v>
      </c>
      <c r="G15" s="27" t="s">
        <v>16</v>
      </c>
      <c r="H15" s="27" t="s">
        <v>17</v>
      </c>
      <c r="I15" s="27" t="s">
        <v>18</v>
      </c>
      <c r="J15" s="27" t="s">
        <v>19</v>
      </c>
      <c r="K15" s="27" t="s">
        <v>20</v>
      </c>
      <c r="L15" s="27" t="s">
        <v>21</v>
      </c>
      <c r="M15" s="27" t="s">
        <v>22</v>
      </c>
      <c r="N15" s="27" t="s">
        <v>23</v>
      </c>
      <c r="O15" s="27" t="s">
        <v>24</v>
      </c>
      <c r="P15" s="27" t="s">
        <v>25</v>
      </c>
      <c r="Q15" s="27" t="s">
        <v>26</v>
      </c>
      <c r="R15" s="27" t="s">
        <v>27</v>
      </c>
      <c r="S15" s="27" t="s">
        <v>28</v>
      </c>
      <c r="T15" s="27" t="s">
        <v>29</v>
      </c>
      <c r="U15" s="27" t="s">
        <v>30</v>
      </c>
      <c r="V15" s="27" t="s">
        <v>31</v>
      </c>
    </row>
    <row r="16" spans="1:23" s="26" customFormat="1" x14ac:dyDescent="0.3">
      <c r="A16" s="26" t="s">
        <v>53</v>
      </c>
      <c r="B16" s="26">
        <v>150000000</v>
      </c>
      <c r="C16" s="26">
        <f>0+B16</f>
        <v>150000000</v>
      </c>
      <c r="D16" s="26">
        <f t="shared" ref="D16:V16" si="9">0+C16</f>
        <v>150000000</v>
      </c>
      <c r="E16" s="26">
        <f t="shared" si="9"/>
        <v>150000000</v>
      </c>
      <c r="F16" s="26">
        <f t="shared" si="9"/>
        <v>150000000</v>
      </c>
      <c r="G16" s="26">
        <f t="shared" si="9"/>
        <v>150000000</v>
      </c>
      <c r="H16" s="26">
        <f t="shared" si="9"/>
        <v>150000000</v>
      </c>
      <c r="I16" s="26">
        <f t="shared" si="9"/>
        <v>150000000</v>
      </c>
      <c r="J16" s="26">
        <f t="shared" si="9"/>
        <v>150000000</v>
      </c>
      <c r="K16" s="26">
        <f t="shared" si="9"/>
        <v>150000000</v>
      </c>
      <c r="L16" s="26">
        <f t="shared" si="9"/>
        <v>150000000</v>
      </c>
      <c r="M16" s="26">
        <f t="shared" si="9"/>
        <v>150000000</v>
      </c>
      <c r="N16" s="26">
        <f t="shared" si="9"/>
        <v>150000000</v>
      </c>
      <c r="O16" s="26">
        <f t="shared" si="9"/>
        <v>150000000</v>
      </c>
      <c r="P16" s="26">
        <f t="shared" si="9"/>
        <v>150000000</v>
      </c>
      <c r="Q16" s="26">
        <f t="shared" si="9"/>
        <v>150000000</v>
      </c>
      <c r="R16" s="26">
        <f t="shared" si="9"/>
        <v>150000000</v>
      </c>
      <c r="S16" s="26">
        <f t="shared" si="9"/>
        <v>150000000</v>
      </c>
      <c r="T16" s="26">
        <f t="shared" si="9"/>
        <v>150000000</v>
      </c>
      <c r="U16" s="26">
        <f t="shared" si="9"/>
        <v>150000000</v>
      </c>
      <c r="V16" s="26">
        <f t="shared" si="9"/>
        <v>150000000</v>
      </c>
    </row>
    <row r="17" spans="1:22" s="26" customFormat="1" x14ac:dyDescent="0.3">
      <c r="A17" s="26" t="s">
        <v>52</v>
      </c>
      <c r="B17" s="26">
        <v>0</v>
      </c>
      <c r="C17" s="26">
        <f>C14</f>
        <v>25220587.5</v>
      </c>
      <c r="D17" s="26">
        <f t="shared" ref="D17:V17" si="10">C17+D14</f>
        <v>50441175</v>
      </c>
      <c r="E17" s="26">
        <f t="shared" si="10"/>
        <v>75661762.5</v>
      </c>
      <c r="F17" s="26">
        <f t="shared" si="10"/>
        <v>100882350</v>
      </c>
      <c r="G17" s="26">
        <f t="shared" si="10"/>
        <v>126102937.5</v>
      </c>
      <c r="H17" s="26">
        <f t="shared" si="10"/>
        <v>142967306.25</v>
      </c>
      <c r="I17" s="26">
        <f t="shared" si="10"/>
        <v>158160431.25</v>
      </c>
      <c r="J17" s="26">
        <f t="shared" si="10"/>
        <v>173353556.25</v>
      </c>
      <c r="K17" s="26">
        <f t="shared" si="10"/>
        <v>188546681.25</v>
      </c>
      <c r="L17" s="26">
        <f t="shared" si="10"/>
        <v>203739806.25</v>
      </c>
      <c r="M17" s="26">
        <f t="shared" si="10"/>
        <v>218932931.25</v>
      </c>
      <c r="N17" s="26">
        <f t="shared" si="10"/>
        <v>234126056.25</v>
      </c>
      <c r="O17" s="26">
        <f t="shared" si="10"/>
        <v>249319181.25</v>
      </c>
      <c r="P17" s="26">
        <f t="shared" si="10"/>
        <v>264512306.25</v>
      </c>
      <c r="Q17" s="26">
        <f t="shared" si="10"/>
        <v>279705431.25</v>
      </c>
      <c r="R17" s="26">
        <f t="shared" si="10"/>
        <v>294898556.25</v>
      </c>
      <c r="S17" s="26">
        <f t="shared" si="10"/>
        <v>310091681.25</v>
      </c>
      <c r="T17" s="26">
        <f t="shared" si="10"/>
        <v>325284806.25</v>
      </c>
      <c r="U17" s="26">
        <f t="shared" si="10"/>
        <v>340477931.25</v>
      </c>
      <c r="V17" s="26">
        <f t="shared" si="10"/>
        <v>355671056.25</v>
      </c>
    </row>
    <row r="18" spans="1:22" s="16" customFormat="1" x14ac:dyDescent="0.3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6" customFormat="1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6" customFormat="1" x14ac:dyDescent="0.3">
      <c r="A20" s="18" t="s">
        <v>41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s="13" t="s">
        <v>35</v>
      </c>
      <c r="B21" s="14">
        <f>NPV(0.075,B9,B13:V13)</f>
        <v>291001875.43857551</v>
      </c>
      <c r="C21" s="20">
        <f>B21/B11</f>
        <v>2.2384759649121193</v>
      </c>
      <c r="D21" t="s">
        <v>40</v>
      </c>
    </row>
    <row r="22" spans="1:22" x14ac:dyDescent="0.3">
      <c r="A22" s="13" t="s">
        <v>36</v>
      </c>
      <c r="B22" s="15">
        <f>IRR(B14:V14,0.075)</f>
        <v>0.14907701801205597</v>
      </c>
    </row>
    <row r="23" spans="1:22" x14ac:dyDescent="0.3">
      <c r="A23" s="13" t="s">
        <v>45</v>
      </c>
      <c r="B23" s="25">
        <v>5.24</v>
      </c>
      <c r="C23" s="24" t="s">
        <v>47</v>
      </c>
      <c r="D23" t="s">
        <v>46</v>
      </c>
      <c r="E23" t="s">
        <v>46</v>
      </c>
    </row>
    <row r="24" spans="1:22" x14ac:dyDescent="0.3">
      <c r="A24" s="18" t="s">
        <v>37</v>
      </c>
      <c r="B24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8"/>
  <sheetViews>
    <sheetView workbookViewId="0">
      <selection activeCell="F5" sqref="F5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5" width="14" customWidth="1"/>
    <col min="6" max="19" width="14.5546875" bestFit="1" customWidth="1"/>
    <col min="20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4200*4</f>
        <v>16800</v>
      </c>
      <c r="C2" s="1" t="s">
        <v>54</v>
      </c>
      <c r="D2" s="1"/>
    </row>
    <row r="3" spans="1:23" x14ac:dyDescent="0.3">
      <c r="A3" s="32" t="s">
        <v>59</v>
      </c>
      <c r="B3" s="2"/>
      <c r="C3" s="1"/>
      <c r="D3" s="1"/>
    </row>
    <row r="4" spans="1:23" x14ac:dyDescent="0.3">
      <c r="A4" s="33" t="s">
        <v>60</v>
      </c>
      <c r="B4" s="2"/>
      <c r="C4" s="1"/>
      <c r="D4" s="1"/>
    </row>
    <row r="5" spans="1:23" x14ac:dyDescent="0.3">
      <c r="A5" s="3" t="s">
        <v>55</v>
      </c>
      <c r="B5" s="3">
        <v>246</v>
      </c>
      <c r="C5" s="1" t="s">
        <v>3</v>
      </c>
      <c r="D5" s="1" t="s">
        <v>6</v>
      </c>
      <c r="F5" s="22">
        <v>4.5599999999999996</v>
      </c>
      <c r="G5" t="s">
        <v>62</v>
      </c>
    </row>
    <row r="6" spans="1:23" x14ac:dyDescent="0.3">
      <c r="A6" s="33" t="s">
        <v>61</v>
      </c>
      <c r="B6" s="3"/>
      <c r="C6" s="1"/>
      <c r="D6" s="1"/>
    </row>
    <row r="7" spans="1:23" x14ac:dyDescent="0.3">
      <c r="A7" s="3" t="s">
        <v>55</v>
      </c>
      <c r="B7" s="3">
        <v>119</v>
      </c>
      <c r="C7" s="1" t="s">
        <v>3</v>
      </c>
      <c r="D7" s="1" t="s">
        <v>6</v>
      </c>
      <c r="F7" s="22">
        <v>2.35</v>
      </c>
      <c r="G7" t="s">
        <v>62</v>
      </c>
    </row>
    <row r="8" spans="1:23" x14ac:dyDescent="0.3">
      <c r="C8" s="1" t="s">
        <v>56</v>
      </c>
      <c r="D8" s="1"/>
    </row>
    <row r="10" spans="1:23" s="6" customFormat="1" x14ac:dyDescent="0.3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6" t="s">
        <v>20</v>
      </c>
      <c r="L10" s="6" t="s">
        <v>21</v>
      </c>
      <c r="M10" s="6" t="s">
        <v>22</v>
      </c>
      <c r="N10" s="6" t="s">
        <v>23</v>
      </c>
      <c r="O10" s="6" t="s">
        <v>24</v>
      </c>
      <c r="P10" s="6" t="s">
        <v>25</v>
      </c>
      <c r="Q10" s="6" t="s">
        <v>26</v>
      </c>
      <c r="R10" s="6" t="s">
        <v>27</v>
      </c>
      <c r="S10" s="6" t="s">
        <v>28</v>
      </c>
      <c r="T10" s="6" t="s">
        <v>29</v>
      </c>
      <c r="U10" s="6" t="s">
        <v>30</v>
      </c>
      <c r="V10" s="6" t="s">
        <v>31</v>
      </c>
    </row>
    <row r="11" spans="1:23" x14ac:dyDescent="0.3">
      <c r="A11" t="s">
        <v>33</v>
      </c>
    </row>
    <row r="12" spans="1:23" x14ac:dyDescent="0.3">
      <c r="A12" s="7" t="s">
        <v>34</v>
      </c>
      <c r="B12" s="8">
        <v>0</v>
      </c>
      <c r="C12" s="8">
        <f>((($B$2*$B$5*$F$5)-((($B$2*$B$5*$F$5)*10%))+((($B$2*$B$7)*$F$7)+((($B$2*$B$5)*$F$7)*10%))))</f>
        <v>22630339.199999999</v>
      </c>
      <c r="D12" s="8">
        <f t="shared" ref="D12:V12" si="0">((($B$2*$B$5*$F$5)-((($B$2*$B$5*$F$5)*10%))+((($B$2*$B$7)*$F$7)+((($B$2*$B$5)*$F$7)*10%))))</f>
        <v>22630339.199999999</v>
      </c>
      <c r="E12" s="8">
        <f t="shared" si="0"/>
        <v>22630339.199999999</v>
      </c>
      <c r="F12" s="8">
        <f t="shared" si="0"/>
        <v>22630339.199999999</v>
      </c>
      <c r="G12" s="8">
        <f t="shared" si="0"/>
        <v>22630339.199999999</v>
      </c>
      <c r="H12" s="8">
        <f t="shared" si="0"/>
        <v>22630339.199999999</v>
      </c>
      <c r="I12" s="8">
        <f t="shared" si="0"/>
        <v>22630339.199999999</v>
      </c>
      <c r="J12" s="8">
        <f t="shared" si="0"/>
        <v>22630339.199999999</v>
      </c>
      <c r="K12" s="8">
        <f t="shared" si="0"/>
        <v>22630339.199999999</v>
      </c>
      <c r="L12" s="8">
        <f t="shared" si="0"/>
        <v>22630339.199999999</v>
      </c>
      <c r="M12" s="8">
        <f t="shared" si="0"/>
        <v>22630339.199999999</v>
      </c>
      <c r="N12" s="8">
        <f t="shared" si="0"/>
        <v>22630339.199999999</v>
      </c>
      <c r="O12" s="8">
        <f t="shared" si="0"/>
        <v>22630339.199999999</v>
      </c>
      <c r="P12" s="8">
        <f t="shared" si="0"/>
        <v>22630339.199999999</v>
      </c>
      <c r="Q12" s="8">
        <f t="shared" si="0"/>
        <v>22630339.199999999</v>
      </c>
      <c r="R12" s="8">
        <f t="shared" si="0"/>
        <v>22630339.199999999</v>
      </c>
      <c r="S12" s="8">
        <f t="shared" si="0"/>
        <v>22630339.199999999</v>
      </c>
      <c r="T12" s="8">
        <f t="shared" si="0"/>
        <v>22630339.199999999</v>
      </c>
      <c r="U12" s="8">
        <f t="shared" si="0"/>
        <v>22630339.199999999</v>
      </c>
      <c r="V12" s="8">
        <f t="shared" si="0"/>
        <v>22630339.199999999</v>
      </c>
      <c r="W12" s="11">
        <f>SUM(B12:V12)</f>
        <v>452606783.99999982</v>
      </c>
    </row>
    <row r="13" spans="1:23" s="6" customFormat="1" x14ac:dyDescent="0.3">
      <c r="A13" s="7" t="s">
        <v>39</v>
      </c>
      <c r="B13" s="8">
        <v>150000000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ref="W13:W14" si="1">SUM(B13:V13)</f>
        <v>150000000</v>
      </c>
    </row>
    <row r="14" spans="1:23" x14ac:dyDescent="0.3">
      <c r="A14" t="s">
        <v>32</v>
      </c>
      <c r="W14" s="11">
        <f t="shared" si="1"/>
        <v>0</v>
      </c>
    </row>
    <row r="15" spans="1:23" s="7" customFormat="1" x14ac:dyDescent="0.3">
      <c r="A15" s="7" t="s">
        <v>65</v>
      </c>
      <c r="B15" s="12">
        <f>B13</f>
        <v>150000000</v>
      </c>
      <c r="C15" s="9">
        <f>C12*17%</f>
        <v>3847157.6640000003</v>
      </c>
      <c r="D15" s="9">
        <f t="shared" ref="D15:J15" si="2">D12*17%</f>
        <v>3847157.6640000003</v>
      </c>
      <c r="E15" s="9">
        <f t="shared" si="2"/>
        <v>3847157.6640000003</v>
      </c>
      <c r="F15" s="9">
        <f t="shared" si="2"/>
        <v>3847157.6640000003</v>
      </c>
      <c r="G15" s="9">
        <f t="shared" si="2"/>
        <v>3847157.6640000003</v>
      </c>
      <c r="H15" s="9">
        <f t="shared" si="2"/>
        <v>3847157.6640000003</v>
      </c>
      <c r="I15" s="9">
        <f t="shared" si="2"/>
        <v>3847157.6640000003</v>
      </c>
      <c r="J15" s="9">
        <f t="shared" si="2"/>
        <v>3847157.6640000003</v>
      </c>
      <c r="K15" s="9">
        <f t="shared" ref="K15:U15" si="3">K12*50%</f>
        <v>11315169.6</v>
      </c>
      <c r="L15" s="9">
        <f t="shared" si="3"/>
        <v>11315169.6</v>
      </c>
      <c r="M15" s="9">
        <f t="shared" si="3"/>
        <v>11315169.6</v>
      </c>
      <c r="N15" s="9">
        <f t="shared" si="3"/>
        <v>11315169.6</v>
      </c>
      <c r="O15" s="9">
        <f t="shared" si="3"/>
        <v>11315169.6</v>
      </c>
      <c r="P15" s="9">
        <f t="shared" si="3"/>
        <v>11315169.6</v>
      </c>
      <c r="Q15" s="9">
        <f t="shared" si="3"/>
        <v>11315169.6</v>
      </c>
      <c r="R15" s="9">
        <f t="shared" si="3"/>
        <v>11315169.6</v>
      </c>
      <c r="S15" s="9">
        <f t="shared" si="3"/>
        <v>11315169.6</v>
      </c>
      <c r="T15" s="9">
        <f t="shared" si="3"/>
        <v>11315169.6</v>
      </c>
      <c r="U15" s="9">
        <f t="shared" si="3"/>
        <v>11315169.6</v>
      </c>
      <c r="V15" s="9">
        <f>V12*50%</f>
        <v>11315169.6</v>
      </c>
      <c r="W15" s="11">
        <f>SUM(C15:V15)</f>
        <v>166559296.51199996</v>
      </c>
    </row>
    <row r="16" spans="1:23" s="7" customFormat="1" x14ac:dyDescent="0.3">
      <c r="A16" s="7" t="s">
        <v>38</v>
      </c>
      <c r="B16" s="19">
        <v>20000000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>SUM(B16:V16)</f>
        <v>20000000</v>
      </c>
    </row>
    <row r="17" spans="1:23" s="7" customFormat="1" x14ac:dyDescent="0.3">
      <c r="A17" s="7" t="s">
        <v>64</v>
      </c>
      <c r="B17" s="8">
        <f>B12*40%</f>
        <v>0</v>
      </c>
      <c r="C17" s="9">
        <f>C12*83%</f>
        <v>18783181.535999998</v>
      </c>
      <c r="D17" s="9">
        <f t="shared" ref="D17:J17" si="4">D12*83%</f>
        <v>18783181.535999998</v>
      </c>
      <c r="E17" s="9">
        <f t="shared" si="4"/>
        <v>18783181.535999998</v>
      </c>
      <c r="F17" s="9">
        <f t="shared" si="4"/>
        <v>18783181.535999998</v>
      </c>
      <c r="G17" s="9">
        <f t="shared" si="4"/>
        <v>18783181.535999998</v>
      </c>
      <c r="H17" s="9">
        <f t="shared" si="4"/>
        <v>18783181.535999998</v>
      </c>
      <c r="I17" s="9">
        <f t="shared" si="4"/>
        <v>18783181.535999998</v>
      </c>
      <c r="J17" s="9">
        <f t="shared" si="4"/>
        <v>18783181.535999998</v>
      </c>
      <c r="K17" s="9">
        <f t="shared" ref="K17:V17" si="5">K12*50%</f>
        <v>11315169.6</v>
      </c>
      <c r="L17" s="9">
        <f t="shared" si="5"/>
        <v>11315169.6</v>
      </c>
      <c r="M17" s="9">
        <f t="shared" si="5"/>
        <v>11315169.6</v>
      </c>
      <c r="N17" s="9">
        <f t="shared" si="5"/>
        <v>11315169.6</v>
      </c>
      <c r="O17" s="9">
        <f t="shared" si="5"/>
        <v>11315169.6</v>
      </c>
      <c r="P17" s="9">
        <f t="shared" si="5"/>
        <v>11315169.6</v>
      </c>
      <c r="Q17" s="9">
        <f t="shared" si="5"/>
        <v>11315169.6</v>
      </c>
      <c r="R17" s="9">
        <f t="shared" si="5"/>
        <v>11315169.6</v>
      </c>
      <c r="S17" s="9">
        <f t="shared" si="5"/>
        <v>11315169.6</v>
      </c>
      <c r="T17" s="9">
        <f t="shared" si="5"/>
        <v>11315169.6</v>
      </c>
      <c r="U17" s="9">
        <f t="shared" si="5"/>
        <v>11315169.6</v>
      </c>
      <c r="V17" s="9">
        <f t="shared" si="5"/>
        <v>11315169.6</v>
      </c>
      <c r="W17" s="21">
        <f>SUM(C17:V17)</f>
        <v>286047487.48799998</v>
      </c>
    </row>
    <row r="18" spans="1:23" s="26" customFormat="1" x14ac:dyDescent="0.3">
      <c r="B18" s="27">
        <f>B17-B13</f>
        <v>-150000000</v>
      </c>
      <c r="C18" s="27">
        <f t="shared" ref="C18:V18" si="6">C17-C13</f>
        <v>18783181.535999998</v>
      </c>
      <c r="D18" s="27">
        <f t="shared" si="6"/>
        <v>18783181.535999998</v>
      </c>
      <c r="E18" s="27">
        <f t="shared" si="6"/>
        <v>18783181.535999998</v>
      </c>
      <c r="F18" s="27">
        <f t="shared" si="6"/>
        <v>18783181.535999998</v>
      </c>
      <c r="G18" s="27">
        <f t="shared" si="6"/>
        <v>18783181.535999998</v>
      </c>
      <c r="H18" s="27">
        <f t="shared" si="6"/>
        <v>18783181.535999998</v>
      </c>
      <c r="I18" s="27">
        <f t="shared" si="6"/>
        <v>18783181.535999998</v>
      </c>
      <c r="J18" s="27">
        <f t="shared" si="6"/>
        <v>18783181.535999998</v>
      </c>
      <c r="K18" s="27">
        <f t="shared" si="6"/>
        <v>11315169.6</v>
      </c>
      <c r="L18" s="27">
        <f t="shared" si="6"/>
        <v>11315169.6</v>
      </c>
      <c r="M18" s="27">
        <f t="shared" si="6"/>
        <v>11315169.6</v>
      </c>
      <c r="N18" s="27">
        <f t="shared" si="6"/>
        <v>11315169.6</v>
      </c>
      <c r="O18" s="27">
        <f t="shared" si="6"/>
        <v>11315169.6</v>
      </c>
      <c r="P18" s="27">
        <f t="shared" si="6"/>
        <v>11315169.6</v>
      </c>
      <c r="Q18" s="27">
        <f t="shared" si="6"/>
        <v>11315169.6</v>
      </c>
      <c r="R18" s="27">
        <f t="shared" si="6"/>
        <v>11315169.6</v>
      </c>
      <c r="S18" s="27">
        <f t="shared" si="6"/>
        <v>11315169.6</v>
      </c>
      <c r="T18" s="27">
        <f t="shared" si="6"/>
        <v>11315169.6</v>
      </c>
      <c r="U18" s="27">
        <f t="shared" si="6"/>
        <v>11315169.6</v>
      </c>
      <c r="V18" s="27">
        <f t="shared" si="6"/>
        <v>11315169.6</v>
      </c>
    </row>
    <row r="19" spans="1:23" s="26" customFormat="1" x14ac:dyDescent="0.3">
      <c r="A19" s="26" t="s">
        <v>10</v>
      </c>
      <c r="B19" s="27" t="s">
        <v>11</v>
      </c>
      <c r="C19" s="27" t="s">
        <v>12</v>
      </c>
      <c r="D19" s="27" t="s">
        <v>13</v>
      </c>
      <c r="E19" s="27" t="s">
        <v>14</v>
      </c>
      <c r="F19" s="27" t="s">
        <v>15</v>
      </c>
      <c r="G19" s="27" t="s">
        <v>16</v>
      </c>
      <c r="H19" s="27" t="s">
        <v>17</v>
      </c>
      <c r="I19" s="27" t="s">
        <v>18</v>
      </c>
      <c r="J19" s="27" t="s">
        <v>19</v>
      </c>
      <c r="K19" s="27" t="s">
        <v>20</v>
      </c>
      <c r="L19" s="27" t="s">
        <v>21</v>
      </c>
      <c r="M19" s="27" t="s">
        <v>22</v>
      </c>
      <c r="N19" s="27" t="s">
        <v>23</v>
      </c>
      <c r="O19" s="27" t="s">
        <v>24</v>
      </c>
      <c r="P19" s="27" t="s">
        <v>25</v>
      </c>
      <c r="Q19" s="27" t="s">
        <v>26</v>
      </c>
      <c r="R19" s="27" t="s">
        <v>27</v>
      </c>
      <c r="S19" s="27" t="s">
        <v>28</v>
      </c>
      <c r="T19" s="27" t="s">
        <v>29</v>
      </c>
      <c r="U19" s="27" t="s">
        <v>30</v>
      </c>
      <c r="V19" s="27" t="s">
        <v>31</v>
      </c>
    </row>
    <row r="20" spans="1:23" s="26" customFormat="1" x14ac:dyDescent="0.3">
      <c r="A20" s="26" t="s">
        <v>53</v>
      </c>
      <c r="B20" s="26">
        <v>150000000</v>
      </c>
      <c r="C20" s="26">
        <f>0+B20</f>
        <v>150000000</v>
      </c>
      <c r="D20" s="26">
        <f t="shared" ref="D20:V20" si="7">0+C20</f>
        <v>150000000</v>
      </c>
      <c r="E20" s="26">
        <f t="shared" si="7"/>
        <v>150000000</v>
      </c>
      <c r="F20" s="26">
        <f t="shared" si="7"/>
        <v>150000000</v>
      </c>
      <c r="G20" s="26">
        <f t="shared" si="7"/>
        <v>150000000</v>
      </c>
      <c r="H20" s="26">
        <f t="shared" si="7"/>
        <v>150000000</v>
      </c>
      <c r="I20" s="26">
        <f t="shared" si="7"/>
        <v>150000000</v>
      </c>
      <c r="J20" s="26">
        <f t="shared" si="7"/>
        <v>150000000</v>
      </c>
      <c r="K20" s="26">
        <f t="shared" si="7"/>
        <v>150000000</v>
      </c>
      <c r="L20" s="26">
        <f t="shared" si="7"/>
        <v>150000000</v>
      </c>
      <c r="M20" s="26">
        <f t="shared" si="7"/>
        <v>150000000</v>
      </c>
      <c r="N20" s="26">
        <f t="shared" si="7"/>
        <v>150000000</v>
      </c>
      <c r="O20" s="26">
        <f t="shared" si="7"/>
        <v>150000000</v>
      </c>
      <c r="P20" s="26">
        <f t="shared" si="7"/>
        <v>150000000</v>
      </c>
      <c r="Q20" s="26">
        <f t="shared" si="7"/>
        <v>150000000</v>
      </c>
      <c r="R20" s="26">
        <f t="shared" si="7"/>
        <v>150000000</v>
      </c>
      <c r="S20" s="26">
        <f t="shared" si="7"/>
        <v>150000000</v>
      </c>
      <c r="T20" s="26">
        <f t="shared" si="7"/>
        <v>150000000</v>
      </c>
      <c r="U20" s="26">
        <f t="shared" si="7"/>
        <v>150000000</v>
      </c>
      <c r="V20" s="26">
        <f t="shared" si="7"/>
        <v>150000000</v>
      </c>
    </row>
    <row r="21" spans="1:23" s="26" customFormat="1" x14ac:dyDescent="0.3">
      <c r="A21" s="26" t="s">
        <v>52</v>
      </c>
      <c r="B21" s="26">
        <v>0</v>
      </c>
      <c r="C21" s="26">
        <f>C18</f>
        <v>18783181.535999998</v>
      </c>
      <c r="D21" s="26">
        <f t="shared" ref="D21:V21" si="8">C21+D18</f>
        <v>37566363.071999997</v>
      </c>
      <c r="E21" s="26">
        <f t="shared" si="8"/>
        <v>56349544.607999995</v>
      </c>
      <c r="F21" s="26">
        <f t="shared" si="8"/>
        <v>75132726.143999994</v>
      </c>
      <c r="G21" s="26">
        <f t="shared" si="8"/>
        <v>93915907.679999992</v>
      </c>
      <c r="H21" s="26">
        <f t="shared" si="8"/>
        <v>112699089.21599999</v>
      </c>
      <c r="I21" s="26">
        <f t="shared" si="8"/>
        <v>131482270.75199999</v>
      </c>
      <c r="J21" s="26">
        <f t="shared" si="8"/>
        <v>150265452.28799999</v>
      </c>
      <c r="K21" s="26">
        <f t="shared" si="8"/>
        <v>161580621.88799998</v>
      </c>
      <c r="L21" s="26">
        <f t="shared" si="8"/>
        <v>172895791.48799998</v>
      </c>
      <c r="M21" s="26">
        <f t="shared" si="8"/>
        <v>184210961.08799997</v>
      </c>
      <c r="N21" s="26">
        <f t="shared" si="8"/>
        <v>195526130.68799996</v>
      </c>
      <c r="O21" s="26">
        <f t="shared" si="8"/>
        <v>206841300.28799996</v>
      </c>
      <c r="P21" s="26">
        <f t="shared" si="8"/>
        <v>218156469.88799995</v>
      </c>
      <c r="Q21" s="26">
        <f t="shared" si="8"/>
        <v>229471639.48799995</v>
      </c>
      <c r="R21" s="26">
        <f t="shared" si="8"/>
        <v>240786809.08799994</v>
      </c>
      <c r="S21" s="26">
        <f t="shared" si="8"/>
        <v>252101978.68799993</v>
      </c>
      <c r="T21" s="26">
        <f t="shared" si="8"/>
        <v>263417148.28799993</v>
      </c>
      <c r="U21" s="26">
        <f t="shared" si="8"/>
        <v>274732317.88799995</v>
      </c>
      <c r="V21" s="26">
        <f t="shared" si="8"/>
        <v>286047487.48799998</v>
      </c>
    </row>
    <row r="22" spans="1:23" s="16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s="16" customFormat="1" x14ac:dyDescent="0.3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s="16" customFormat="1" x14ac:dyDescent="0.3">
      <c r="A24" s="18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x14ac:dyDescent="0.3">
      <c r="A25" s="13" t="s">
        <v>35</v>
      </c>
      <c r="B25" s="14">
        <f>NPV(0.075,B13,B17:V17)</f>
        <v>277204812.61194259</v>
      </c>
      <c r="C25" s="20">
        <f>B25/B15</f>
        <v>1.8480320840796172</v>
      </c>
      <c r="D25" t="s">
        <v>40</v>
      </c>
    </row>
    <row r="26" spans="1:23" x14ac:dyDescent="0.3">
      <c r="A26" s="13" t="s">
        <v>36</v>
      </c>
      <c r="B26" s="15">
        <f>IRR(B18:V18,0.075)</f>
        <v>8.4143222830683317E-2</v>
      </c>
    </row>
    <row r="27" spans="1:23" x14ac:dyDescent="0.3">
      <c r="A27" s="13" t="s">
        <v>45</v>
      </c>
      <c r="B27" s="25">
        <v>8</v>
      </c>
      <c r="C27" s="24" t="s">
        <v>63</v>
      </c>
      <c r="D27" t="s">
        <v>46</v>
      </c>
      <c r="E27" t="s">
        <v>46</v>
      </c>
    </row>
    <row r="28" spans="1:23" x14ac:dyDescent="0.3">
      <c r="A28" s="18" t="s">
        <v>37</v>
      </c>
      <c r="B28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8"/>
  <sheetViews>
    <sheetView workbookViewId="0">
      <selection activeCell="D24" sqref="D24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5" width="14" customWidth="1"/>
    <col min="6" max="19" width="14.5546875" bestFit="1" customWidth="1"/>
    <col min="20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4500*4</f>
        <v>18000</v>
      </c>
      <c r="C2" s="1" t="s">
        <v>66</v>
      </c>
      <c r="D2" s="1"/>
    </row>
    <row r="3" spans="1:23" x14ac:dyDescent="0.3">
      <c r="A3" s="32" t="s">
        <v>59</v>
      </c>
      <c r="B3" s="2"/>
      <c r="C3" s="1"/>
      <c r="D3" s="1"/>
    </row>
    <row r="4" spans="1:23" x14ac:dyDescent="0.3">
      <c r="A4" s="33" t="s">
        <v>60</v>
      </c>
      <c r="B4" s="2"/>
      <c r="C4" s="1"/>
      <c r="D4" s="1"/>
    </row>
    <row r="5" spans="1:23" x14ac:dyDescent="0.3">
      <c r="A5" s="3" t="s">
        <v>55</v>
      </c>
      <c r="B5" s="3">
        <v>246</v>
      </c>
      <c r="C5" s="1" t="s">
        <v>3</v>
      </c>
      <c r="D5" s="1" t="s">
        <v>6</v>
      </c>
      <c r="F5" s="22">
        <v>4.5599999999999996</v>
      </c>
      <c r="G5" t="s">
        <v>62</v>
      </c>
    </row>
    <row r="6" spans="1:23" x14ac:dyDescent="0.3">
      <c r="A6" s="33" t="s">
        <v>61</v>
      </c>
      <c r="B6" s="3"/>
      <c r="C6" s="1"/>
      <c r="D6" s="1"/>
    </row>
    <row r="7" spans="1:23" x14ac:dyDescent="0.3">
      <c r="A7" s="3" t="s">
        <v>55</v>
      </c>
      <c r="B7" s="3">
        <v>119</v>
      </c>
      <c r="C7" s="1" t="s">
        <v>3</v>
      </c>
      <c r="D7" s="1" t="s">
        <v>6</v>
      </c>
      <c r="F7" s="22">
        <v>2.35</v>
      </c>
      <c r="G7" t="s">
        <v>62</v>
      </c>
    </row>
    <row r="8" spans="1:23" x14ac:dyDescent="0.3">
      <c r="C8" s="1" t="s">
        <v>56</v>
      </c>
      <c r="D8" s="1"/>
    </row>
    <row r="10" spans="1:23" s="6" customFormat="1" x14ac:dyDescent="0.3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6" t="s">
        <v>20</v>
      </c>
      <c r="L10" s="6" t="s">
        <v>21</v>
      </c>
      <c r="M10" s="6" t="s">
        <v>22</v>
      </c>
      <c r="N10" s="6" t="s">
        <v>23</v>
      </c>
      <c r="O10" s="6" t="s">
        <v>24</v>
      </c>
      <c r="P10" s="6" t="s">
        <v>25</v>
      </c>
      <c r="Q10" s="6" t="s">
        <v>26</v>
      </c>
      <c r="R10" s="6" t="s">
        <v>27</v>
      </c>
      <c r="S10" s="6" t="s">
        <v>28</v>
      </c>
      <c r="T10" s="6" t="s">
        <v>29</v>
      </c>
      <c r="U10" s="6" t="s">
        <v>30</v>
      </c>
      <c r="V10" s="6" t="s">
        <v>31</v>
      </c>
    </row>
    <row r="11" spans="1:23" x14ac:dyDescent="0.3">
      <c r="A11" t="s">
        <v>33</v>
      </c>
    </row>
    <row r="12" spans="1:23" x14ac:dyDescent="0.3">
      <c r="A12" s="7" t="s">
        <v>34</v>
      </c>
      <c r="B12" s="8">
        <v>0</v>
      </c>
      <c r="C12" s="8">
        <f>((($B$2*$B$5*$F$5)-((($B$2*$B$5*$F$5)*10%))+((($B$2*$B$7)*$F$7)+((($B$2*$B$5)*$F$7)*10%))))</f>
        <v>24246792</v>
      </c>
      <c r="D12" s="8">
        <f t="shared" ref="D12:V12" si="0">((($B$2*$B$5*$F$5)-((($B$2*$B$5*$F$5)*10%))+((($B$2*$B$7)*$F$7)+((($B$2*$B$5)*$F$7)*10%))))</f>
        <v>24246792</v>
      </c>
      <c r="E12" s="8">
        <f t="shared" si="0"/>
        <v>24246792</v>
      </c>
      <c r="F12" s="8">
        <f t="shared" si="0"/>
        <v>24246792</v>
      </c>
      <c r="G12" s="8">
        <f t="shared" si="0"/>
        <v>24246792</v>
      </c>
      <c r="H12" s="8">
        <f t="shared" si="0"/>
        <v>24246792</v>
      </c>
      <c r="I12" s="8">
        <f t="shared" si="0"/>
        <v>24246792</v>
      </c>
      <c r="J12" s="8">
        <f t="shared" si="0"/>
        <v>24246792</v>
      </c>
      <c r="K12" s="8">
        <f t="shared" si="0"/>
        <v>24246792</v>
      </c>
      <c r="L12" s="8">
        <f t="shared" si="0"/>
        <v>24246792</v>
      </c>
      <c r="M12" s="8">
        <f t="shared" si="0"/>
        <v>24246792</v>
      </c>
      <c r="N12" s="8">
        <f t="shared" si="0"/>
        <v>24246792</v>
      </c>
      <c r="O12" s="8">
        <f t="shared" si="0"/>
        <v>24246792</v>
      </c>
      <c r="P12" s="8">
        <f t="shared" si="0"/>
        <v>24246792</v>
      </c>
      <c r="Q12" s="8">
        <f t="shared" si="0"/>
        <v>24246792</v>
      </c>
      <c r="R12" s="8">
        <f t="shared" si="0"/>
        <v>24246792</v>
      </c>
      <c r="S12" s="8">
        <f t="shared" si="0"/>
        <v>24246792</v>
      </c>
      <c r="T12" s="8">
        <f t="shared" si="0"/>
        <v>24246792</v>
      </c>
      <c r="U12" s="8">
        <f t="shared" si="0"/>
        <v>24246792</v>
      </c>
      <c r="V12" s="8">
        <f t="shared" si="0"/>
        <v>24246792</v>
      </c>
      <c r="W12" s="11">
        <f>SUM(B12:V12)</f>
        <v>484935840</v>
      </c>
    </row>
    <row r="13" spans="1:23" s="6" customFormat="1" x14ac:dyDescent="0.3">
      <c r="A13" s="7" t="s">
        <v>39</v>
      </c>
      <c r="B13" s="8">
        <v>150000000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ref="W13:W14" si="1">SUM(B13:V13)</f>
        <v>150000000</v>
      </c>
    </row>
    <row r="14" spans="1:23" x14ac:dyDescent="0.3">
      <c r="A14" t="s">
        <v>32</v>
      </c>
      <c r="W14" s="11">
        <f t="shared" si="1"/>
        <v>0</v>
      </c>
    </row>
    <row r="15" spans="1:23" s="7" customFormat="1" x14ac:dyDescent="0.3">
      <c r="A15" s="7" t="s">
        <v>65</v>
      </c>
      <c r="B15" s="12">
        <f>B13</f>
        <v>150000000</v>
      </c>
      <c r="C15" s="9">
        <f>C12*17%</f>
        <v>4121954.64</v>
      </c>
      <c r="D15" s="9">
        <f t="shared" ref="D15:J15" si="2">D12*17%</f>
        <v>4121954.64</v>
      </c>
      <c r="E15" s="9">
        <f t="shared" si="2"/>
        <v>4121954.64</v>
      </c>
      <c r="F15" s="9">
        <f t="shared" si="2"/>
        <v>4121954.64</v>
      </c>
      <c r="G15" s="9">
        <f t="shared" si="2"/>
        <v>4121954.64</v>
      </c>
      <c r="H15" s="9">
        <f t="shared" si="2"/>
        <v>4121954.64</v>
      </c>
      <c r="I15" s="9">
        <f t="shared" si="2"/>
        <v>4121954.64</v>
      </c>
      <c r="J15" s="9">
        <f t="shared" si="2"/>
        <v>4121954.64</v>
      </c>
      <c r="K15" s="9">
        <f t="shared" ref="K15:U15" si="3">K12*50%</f>
        <v>12123396</v>
      </c>
      <c r="L15" s="9">
        <f t="shared" si="3"/>
        <v>12123396</v>
      </c>
      <c r="M15" s="9">
        <f t="shared" si="3"/>
        <v>12123396</v>
      </c>
      <c r="N15" s="9">
        <f t="shared" si="3"/>
        <v>12123396</v>
      </c>
      <c r="O15" s="9">
        <f t="shared" si="3"/>
        <v>12123396</v>
      </c>
      <c r="P15" s="9">
        <f t="shared" si="3"/>
        <v>12123396</v>
      </c>
      <c r="Q15" s="9">
        <f t="shared" si="3"/>
        <v>12123396</v>
      </c>
      <c r="R15" s="9">
        <f t="shared" si="3"/>
        <v>12123396</v>
      </c>
      <c r="S15" s="9">
        <f t="shared" si="3"/>
        <v>12123396</v>
      </c>
      <c r="T15" s="9">
        <f t="shared" si="3"/>
        <v>12123396</v>
      </c>
      <c r="U15" s="9">
        <f t="shared" si="3"/>
        <v>12123396</v>
      </c>
      <c r="V15" s="9">
        <f>V12*50%</f>
        <v>12123396</v>
      </c>
      <c r="W15" s="11">
        <f>SUM(C15:V15)</f>
        <v>178456389.12</v>
      </c>
    </row>
    <row r="16" spans="1:23" s="7" customFormat="1" x14ac:dyDescent="0.3">
      <c r="A16" s="7" t="s">
        <v>38</v>
      </c>
      <c r="B16" s="19">
        <v>20000000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>SUM(B16:V16)</f>
        <v>20000000</v>
      </c>
    </row>
    <row r="17" spans="1:23" s="7" customFormat="1" x14ac:dyDescent="0.3">
      <c r="A17" s="7" t="s">
        <v>64</v>
      </c>
      <c r="B17" s="8">
        <f>B12*40%</f>
        <v>0</v>
      </c>
      <c r="C17" s="9">
        <f>C12*83%</f>
        <v>20124837.359999999</v>
      </c>
      <c r="D17" s="9">
        <f t="shared" ref="D17:I17" si="4">D12*83%</f>
        <v>20124837.359999999</v>
      </c>
      <c r="E17" s="9">
        <f t="shared" si="4"/>
        <v>20124837.359999999</v>
      </c>
      <c r="F17" s="9">
        <f t="shared" si="4"/>
        <v>20124837.359999999</v>
      </c>
      <c r="G17" s="9">
        <f t="shared" si="4"/>
        <v>20124837.359999999</v>
      </c>
      <c r="H17" s="9">
        <f t="shared" si="4"/>
        <v>20124837.359999999</v>
      </c>
      <c r="I17" s="9">
        <f t="shared" si="4"/>
        <v>20124837.359999999</v>
      </c>
      <c r="J17" s="9">
        <f>(J12/12*83%)*6+(J12/12*50%)*6</f>
        <v>16124116.68</v>
      </c>
      <c r="K17" s="9">
        <f t="shared" ref="K17:V17" si="5">K12*50%</f>
        <v>12123396</v>
      </c>
      <c r="L17" s="9">
        <f t="shared" si="5"/>
        <v>12123396</v>
      </c>
      <c r="M17" s="9">
        <f t="shared" si="5"/>
        <v>12123396</v>
      </c>
      <c r="N17" s="9">
        <f t="shared" si="5"/>
        <v>12123396</v>
      </c>
      <c r="O17" s="9">
        <f t="shared" si="5"/>
        <v>12123396</v>
      </c>
      <c r="P17" s="9">
        <f t="shared" si="5"/>
        <v>12123396</v>
      </c>
      <c r="Q17" s="9">
        <f t="shared" si="5"/>
        <v>12123396</v>
      </c>
      <c r="R17" s="9">
        <f t="shared" si="5"/>
        <v>12123396</v>
      </c>
      <c r="S17" s="9">
        <f t="shared" si="5"/>
        <v>12123396</v>
      </c>
      <c r="T17" s="9">
        <f t="shared" si="5"/>
        <v>12123396</v>
      </c>
      <c r="U17" s="9">
        <f t="shared" si="5"/>
        <v>12123396</v>
      </c>
      <c r="V17" s="9">
        <f t="shared" si="5"/>
        <v>12123396</v>
      </c>
      <c r="W17" s="21">
        <f>SUM(C17:V17)</f>
        <v>302478730.19999999</v>
      </c>
    </row>
    <row r="18" spans="1:23" s="26" customFormat="1" x14ac:dyDescent="0.3">
      <c r="B18" s="27">
        <f>B17-B13</f>
        <v>-150000000</v>
      </c>
      <c r="C18" s="27">
        <f t="shared" ref="C18:V18" si="6">C17-C13</f>
        <v>20124837.359999999</v>
      </c>
      <c r="D18" s="27">
        <f t="shared" si="6"/>
        <v>20124837.359999999</v>
      </c>
      <c r="E18" s="27">
        <f t="shared" si="6"/>
        <v>20124837.359999999</v>
      </c>
      <c r="F18" s="27">
        <f t="shared" si="6"/>
        <v>20124837.359999999</v>
      </c>
      <c r="G18" s="27">
        <f t="shared" si="6"/>
        <v>20124837.359999999</v>
      </c>
      <c r="H18" s="27">
        <f t="shared" si="6"/>
        <v>20124837.359999999</v>
      </c>
      <c r="I18" s="27">
        <f t="shared" si="6"/>
        <v>20124837.359999999</v>
      </c>
      <c r="J18" s="27">
        <f t="shared" si="6"/>
        <v>16124116.68</v>
      </c>
      <c r="K18" s="27">
        <f t="shared" si="6"/>
        <v>12123396</v>
      </c>
      <c r="L18" s="27">
        <f t="shared" si="6"/>
        <v>12123396</v>
      </c>
      <c r="M18" s="27">
        <f t="shared" si="6"/>
        <v>12123396</v>
      </c>
      <c r="N18" s="27">
        <f t="shared" si="6"/>
        <v>12123396</v>
      </c>
      <c r="O18" s="27">
        <f t="shared" si="6"/>
        <v>12123396</v>
      </c>
      <c r="P18" s="27">
        <f t="shared" si="6"/>
        <v>12123396</v>
      </c>
      <c r="Q18" s="27">
        <f t="shared" si="6"/>
        <v>12123396</v>
      </c>
      <c r="R18" s="27">
        <f t="shared" si="6"/>
        <v>12123396</v>
      </c>
      <c r="S18" s="27">
        <f t="shared" si="6"/>
        <v>12123396</v>
      </c>
      <c r="T18" s="27">
        <f t="shared" si="6"/>
        <v>12123396</v>
      </c>
      <c r="U18" s="27">
        <f t="shared" si="6"/>
        <v>12123396</v>
      </c>
      <c r="V18" s="27">
        <f t="shared" si="6"/>
        <v>12123396</v>
      </c>
    </row>
    <row r="19" spans="1:23" s="26" customFormat="1" x14ac:dyDescent="0.3">
      <c r="A19" s="26" t="s">
        <v>10</v>
      </c>
      <c r="B19" s="27" t="s">
        <v>11</v>
      </c>
      <c r="C19" s="27" t="s">
        <v>12</v>
      </c>
      <c r="D19" s="27" t="s">
        <v>13</v>
      </c>
      <c r="E19" s="27" t="s">
        <v>14</v>
      </c>
      <c r="F19" s="27" t="s">
        <v>15</v>
      </c>
      <c r="G19" s="27" t="s">
        <v>16</v>
      </c>
      <c r="H19" s="27" t="s">
        <v>17</v>
      </c>
      <c r="I19" s="27" t="s">
        <v>18</v>
      </c>
      <c r="J19" s="27" t="s">
        <v>19</v>
      </c>
      <c r="K19" s="27" t="s">
        <v>20</v>
      </c>
      <c r="L19" s="27" t="s">
        <v>21</v>
      </c>
      <c r="M19" s="27" t="s">
        <v>22</v>
      </c>
      <c r="N19" s="27" t="s">
        <v>23</v>
      </c>
      <c r="O19" s="27" t="s">
        <v>24</v>
      </c>
      <c r="P19" s="27" t="s">
        <v>25</v>
      </c>
      <c r="Q19" s="27" t="s">
        <v>26</v>
      </c>
      <c r="R19" s="27" t="s">
        <v>27</v>
      </c>
      <c r="S19" s="27" t="s">
        <v>28</v>
      </c>
      <c r="T19" s="27" t="s">
        <v>29</v>
      </c>
      <c r="U19" s="27" t="s">
        <v>30</v>
      </c>
      <c r="V19" s="27" t="s">
        <v>31</v>
      </c>
    </row>
    <row r="20" spans="1:23" s="26" customFormat="1" x14ac:dyDescent="0.3">
      <c r="A20" s="26" t="s">
        <v>53</v>
      </c>
      <c r="B20" s="26">
        <v>150000000</v>
      </c>
      <c r="C20" s="26">
        <f>0+B20</f>
        <v>150000000</v>
      </c>
      <c r="D20" s="26">
        <f t="shared" ref="D20:V20" si="7">0+C20</f>
        <v>150000000</v>
      </c>
      <c r="E20" s="26">
        <f t="shared" si="7"/>
        <v>150000000</v>
      </c>
      <c r="F20" s="26">
        <f t="shared" si="7"/>
        <v>150000000</v>
      </c>
      <c r="G20" s="26">
        <f t="shared" si="7"/>
        <v>150000000</v>
      </c>
      <c r="H20" s="26">
        <f t="shared" si="7"/>
        <v>150000000</v>
      </c>
      <c r="I20" s="26">
        <f t="shared" si="7"/>
        <v>150000000</v>
      </c>
      <c r="J20" s="26">
        <f t="shared" si="7"/>
        <v>150000000</v>
      </c>
      <c r="K20" s="26">
        <f t="shared" si="7"/>
        <v>150000000</v>
      </c>
      <c r="L20" s="26">
        <f t="shared" si="7"/>
        <v>150000000</v>
      </c>
      <c r="M20" s="26">
        <f t="shared" si="7"/>
        <v>150000000</v>
      </c>
      <c r="N20" s="26">
        <f t="shared" si="7"/>
        <v>150000000</v>
      </c>
      <c r="O20" s="26">
        <f t="shared" si="7"/>
        <v>150000000</v>
      </c>
      <c r="P20" s="26">
        <f t="shared" si="7"/>
        <v>150000000</v>
      </c>
      <c r="Q20" s="26">
        <f t="shared" si="7"/>
        <v>150000000</v>
      </c>
      <c r="R20" s="26">
        <f t="shared" si="7"/>
        <v>150000000</v>
      </c>
      <c r="S20" s="26">
        <f t="shared" si="7"/>
        <v>150000000</v>
      </c>
      <c r="T20" s="26">
        <f t="shared" si="7"/>
        <v>150000000</v>
      </c>
      <c r="U20" s="26">
        <f t="shared" si="7"/>
        <v>150000000</v>
      </c>
      <c r="V20" s="26">
        <f t="shared" si="7"/>
        <v>150000000</v>
      </c>
    </row>
    <row r="21" spans="1:23" s="26" customFormat="1" x14ac:dyDescent="0.3">
      <c r="A21" s="26" t="s">
        <v>52</v>
      </c>
      <c r="B21" s="26">
        <v>0</v>
      </c>
      <c r="C21" s="26">
        <f>C18</f>
        <v>20124837.359999999</v>
      </c>
      <c r="D21" s="26">
        <f t="shared" ref="D21:V21" si="8">C21+D18</f>
        <v>40249674.719999999</v>
      </c>
      <c r="E21" s="26">
        <f t="shared" si="8"/>
        <v>60374512.079999998</v>
      </c>
      <c r="F21" s="26">
        <f t="shared" si="8"/>
        <v>80499349.439999998</v>
      </c>
      <c r="G21" s="26">
        <f t="shared" si="8"/>
        <v>100624186.8</v>
      </c>
      <c r="H21" s="26">
        <f t="shared" si="8"/>
        <v>120749024.16</v>
      </c>
      <c r="I21" s="26">
        <f t="shared" si="8"/>
        <v>140873861.51999998</v>
      </c>
      <c r="J21" s="26">
        <f t="shared" si="8"/>
        <v>156997978.19999999</v>
      </c>
      <c r="K21" s="26">
        <f t="shared" si="8"/>
        <v>169121374.19999999</v>
      </c>
      <c r="L21" s="26">
        <f t="shared" si="8"/>
        <v>181244770.19999999</v>
      </c>
      <c r="M21" s="26">
        <f t="shared" si="8"/>
        <v>193368166.19999999</v>
      </c>
      <c r="N21" s="26">
        <f t="shared" si="8"/>
        <v>205491562.19999999</v>
      </c>
      <c r="O21" s="26">
        <f t="shared" si="8"/>
        <v>217614958.19999999</v>
      </c>
      <c r="P21" s="26">
        <f t="shared" si="8"/>
        <v>229738354.19999999</v>
      </c>
      <c r="Q21" s="26">
        <f t="shared" si="8"/>
        <v>241861750.19999999</v>
      </c>
      <c r="R21" s="26">
        <f t="shared" si="8"/>
        <v>253985146.19999999</v>
      </c>
      <c r="S21" s="26">
        <f t="shared" si="8"/>
        <v>266108542.19999999</v>
      </c>
      <c r="T21" s="26">
        <f t="shared" si="8"/>
        <v>278231938.19999999</v>
      </c>
      <c r="U21" s="26">
        <f t="shared" si="8"/>
        <v>290355334.19999999</v>
      </c>
      <c r="V21" s="26">
        <f t="shared" si="8"/>
        <v>302478730.19999999</v>
      </c>
    </row>
    <row r="22" spans="1:23" s="16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s="16" customFormat="1" x14ac:dyDescent="0.3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s="16" customFormat="1" x14ac:dyDescent="0.3">
      <c r="A24" s="18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x14ac:dyDescent="0.3">
      <c r="A25" s="13" t="s">
        <v>35</v>
      </c>
      <c r="B25" s="14">
        <f>NPV(0.075,B13,B17:V17)</f>
        <v>285097253.5785346</v>
      </c>
      <c r="C25" s="20">
        <f>B25/B15</f>
        <v>1.9006483571902306</v>
      </c>
      <c r="D25" t="s">
        <v>40</v>
      </c>
    </row>
    <row r="26" spans="1:23" x14ac:dyDescent="0.3">
      <c r="A26" s="13" t="s">
        <v>36</v>
      </c>
      <c r="B26" s="15">
        <f>IRR(B18:V18,0.075)</f>
        <v>9.3193648207413826E-2</v>
      </c>
    </row>
    <row r="27" spans="1:23" x14ac:dyDescent="0.3">
      <c r="A27" s="13" t="s">
        <v>45</v>
      </c>
      <c r="B27" s="25">
        <v>7.5</v>
      </c>
      <c r="C27" s="24" t="s">
        <v>67</v>
      </c>
      <c r="D27" t="s">
        <v>46</v>
      </c>
      <c r="E27" t="s">
        <v>46</v>
      </c>
    </row>
    <row r="28" spans="1:23" x14ac:dyDescent="0.3">
      <c r="A28" s="18" t="s">
        <v>37</v>
      </c>
      <c r="B28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8"/>
  <sheetViews>
    <sheetView workbookViewId="0">
      <selection activeCell="F11" sqref="F11"/>
    </sheetView>
  </sheetViews>
  <sheetFormatPr defaultRowHeight="14.4" x14ac:dyDescent="0.3"/>
  <cols>
    <col min="1" max="1" width="53.6640625" bestFit="1" customWidth="1"/>
    <col min="2" max="2" width="15.77734375" customWidth="1"/>
    <col min="3" max="3" width="14.77734375" customWidth="1"/>
    <col min="4" max="5" width="14" customWidth="1"/>
    <col min="6" max="19" width="14.5546875" bestFit="1" customWidth="1"/>
    <col min="20" max="22" width="14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4500*5</f>
        <v>22500</v>
      </c>
      <c r="C2" s="1" t="s">
        <v>71</v>
      </c>
      <c r="D2" s="1"/>
    </row>
    <row r="3" spans="1:23" x14ac:dyDescent="0.3">
      <c r="A3" s="32" t="s">
        <v>59</v>
      </c>
      <c r="B3" s="2"/>
      <c r="C3" s="1"/>
      <c r="D3" s="1"/>
    </row>
    <row r="4" spans="1:23" x14ac:dyDescent="0.3">
      <c r="A4" s="33" t="s">
        <v>60</v>
      </c>
      <c r="B4" s="2"/>
      <c r="C4" s="1"/>
      <c r="D4" s="1"/>
    </row>
    <row r="5" spans="1:23" x14ac:dyDescent="0.3">
      <c r="A5" s="3" t="s">
        <v>55</v>
      </c>
      <c r="B5" s="3">
        <v>246</v>
      </c>
      <c r="C5" s="1" t="s">
        <v>3</v>
      </c>
      <c r="D5" s="1" t="s">
        <v>6</v>
      </c>
      <c r="F5" s="35">
        <v>4.5599999999999996</v>
      </c>
      <c r="G5" t="s">
        <v>62</v>
      </c>
    </row>
    <row r="6" spans="1:23" x14ac:dyDescent="0.3">
      <c r="A6" s="33" t="s">
        <v>61</v>
      </c>
      <c r="B6" s="3"/>
      <c r="C6" s="1"/>
      <c r="D6" s="1"/>
    </row>
    <row r="7" spans="1:23" x14ac:dyDescent="0.3">
      <c r="A7" s="3" t="s">
        <v>55</v>
      </c>
      <c r="B7" s="3">
        <v>119</v>
      </c>
      <c r="C7" s="1" t="s">
        <v>3</v>
      </c>
      <c r="D7" s="1" t="s">
        <v>6</v>
      </c>
      <c r="F7" s="35">
        <v>2.35</v>
      </c>
      <c r="G7" t="s">
        <v>62</v>
      </c>
    </row>
    <row r="8" spans="1:23" x14ac:dyDescent="0.3">
      <c r="C8" s="1" t="s">
        <v>56</v>
      </c>
      <c r="D8" s="1"/>
    </row>
    <row r="10" spans="1:23" s="6" customFormat="1" x14ac:dyDescent="0.3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6" t="s">
        <v>20</v>
      </c>
      <c r="L10" s="6" t="s">
        <v>21</v>
      </c>
      <c r="M10" s="6" t="s">
        <v>22</v>
      </c>
      <c r="N10" s="6" t="s">
        <v>23</v>
      </c>
      <c r="O10" s="6" t="s">
        <v>24</v>
      </c>
      <c r="P10" s="6" t="s">
        <v>25</v>
      </c>
      <c r="Q10" s="6" t="s">
        <v>26</v>
      </c>
      <c r="R10" s="6" t="s">
        <v>27</v>
      </c>
      <c r="S10" s="6" t="s">
        <v>28</v>
      </c>
      <c r="T10" s="6" t="s">
        <v>29</v>
      </c>
      <c r="U10" s="6" t="s">
        <v>30</v>
      </c>
      <c r="V10" s="6" t="s">
        <v>31</v>
      </c>
    </row>
    <row r="11" spans="1:23" x14ac:dyDescent="0.3">
      <c r="A11" t="s">
        <v>33</v>
      </c>
    </row>
    <row r="12" spans="1:23" x14ac:dyDescent="0.3">
      <c r="A12" s="7" t="s">
        <v>34</v>
      </c>
      <c r="B12" s="8">
        <v>0</v>
      </c>
      <c r="C12" s="8">
        <f>((($B$2*$B$5*$F$5)-((($B$2*$B$5*$F$5)*10%))+((($B$2*$B$7)*$F$7)+((($B$2*$B$5)*$F$7)*10%))))</f>
        <v>30308489.999999996</v>
      </c>
      <c r="D12" s="8">
        <f t="shared" ref="D12:V12" si="0">((($B$2*$B$5*$F$5)-((($B$2*$B$5*$F$5)*10%))+((($B$2*$B$7)*$F$7)+((($B$2*$B$5)*$F$7)*10%))))</f>
        <v>30308489.999999996</v>
      </c>
      <c r="E12" s="8">
        <f t="shared" si="0"/>
        <v>30308489.999999996</v>
      </c>
      <c r="F12" s="8">
        <f t="shared" si="0"/>
        <v>30308489.999999996</v>
      </c>
      <c r="G12" s="8">
        <f t="shared" si="0"/>
        <v>30308489.999999996</v>
      </c>
      <c r="H12" s="8">
        <f t="shared" si="0"/>
        <v>30308489.999999996</v>
      </c>
      <c r="I12" s="8">
        <f t="shared" si="0"/>
        <v>30308489.999999996</v>
      </c>
      <c r="J12" s="8">
        <f t="shared" si="0"/>
        <v>30308489.999999996</v>
      </c>
      <c r="K12" s="8">
        <f t="shared" si="0"/>
        <v>30308489.999999996</v>
      </c>
      <c r="L12" s="8">
        <f t="shared" si="0"/>
        <v>30308489.999999996</v>
      </c>
      <c r="M12" s="8">
        <f t="shared" si="0"/>
        <v>30308489.999999996</v>
      </c>
      <c r="N12" s="8">
        <f t="shared" si="0"/>
        <v>30308489.999999996</v>
      </c>
      <c r="O12" s="8">
        <f t="shared" si="0"/>
        <v>30308489.999999996</v>
      </c>
      <c r="P12" s="8">
        <f t="shared" si="0"/>
        <v>30308489.999999996</v>
      </c>
      <c r="Q12" s="8">
        <f t="shared" si="0"/>
        <v>30308489.999999996</v>
      </c>
      <c r="R12" s="8">
        <f t="shared" si="0"/>
        <v>30308489.999999996</v>
      </c>
      <c r="S12" s="8">
        <f t="shared" si="0"/>
        <v>30308489.999999996</v>
      </c>
      <c r="T12" s="8">
        <f t="shared" si="0"/>
        <v>30308489.999999996</v>
      </c>
      <c r="U12" s="8">
        <f t="shared" si="0"/>
        <v>30308489.999999996</v>
      </c>
      <c r="V12" s="8">
        <f t="shared" si="0"/>
        <v>30308489.999999996</v>
      </c>
      <c r="W12" s="11">
        <f>SUM(B12:V12)</f>
        <v>606169799.99999988</v>
      </c>
    </row>
    <row r="13" spans="1:23" s="6" customFormat="1" x14ac:dyDescent="0.3">
      <c r="A13" s="7" t="s">
        <v>39</v>
      </c>
      <c r="B13" s="8">
        <v>150000000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ref="W13:W14" si="1">SUM(B13:V13)</f>
        <v>150000000</v>
      </c>
    </row>
    <row r="14" spans="1:23" x14ac:dyDescent="0.3">
      <c r="A14" t="s">
        <v>32</v>
      </c>
      <c r="W14" s="11">
        <f t="shared" si="1"/>
        <v>0</v>
      </c>
    </row>
    <row r="15" spans="1:23" s="7" customFormat="1" x14ac:dyDescent="0.3">
      <c r="A15" s="7" t="s">
        <v>65</v>
      </c>
      <c r="B15" s="12">
        <f>B13</f>
        <v>150000000</v>
      </c>
      <c r="C15" s="9">
        <f>C12*17%</f>
        <v>5152443.3</v>
      </c>
      <c r="D15" s="9">
        <f t="shared" ref="D15:J15" si="2">D12*17%</f>
        <v>5152443.3</v>
      </c>
      <c r="E15" s="9">
        <f t="shared" si="2"/>
        <v>5152443.3</v>
      </c>
      <c r="F15" s="9">
        <f t="shared" si="2"/>
        <v>5152443.3</v>
      </c>
      <c r="G15" s="9">
        <f t="shared" si="2"/>
        <v>5152443.3</v>
      </c>
      <c r="H15" s="9">
        <f t="shared" si="2"/>
        <v>5152443.3</v>
      </c>
      <c r="I15" s="9">
        <f t="shared" si="2"/>
        <v>5152443.3</v>
      </c>
      <c r="J15" s="9">
        <f t="shared" si="2"/>
        <v>5152443.3</v>
      </c>
      <c r="K15" s="9">
        <f t="shared" ref="K15:U15" si="3">K12*50%</f>
        <v>15154244.999999998</v>
      </c>
      <c r="L15" s="9">
        <f t="shared" si="3"/>
        <v>15154244.999999998</v>
      </c>
      <c r="M15" s="9">
        <f t="shared" si="3"/>
        <v>15154244.999999998</v>
      </c>
      <c r="N15" s="9">
        <f t="shared" si="3"/>
        <v>15154244.999999998</v>
      </c>
      <c r="O15" s="9">
        <f t="shared" si="3"/>
        <v>15154244.999999998</v>
      </c>
      <c r="P15" s="9">
        <f t="shared" si="3"/>
        <v>15154244.999999998</v>
      </c>
      <c r="Q15" s="9">
        <f t="shared" si="3"/>
        <v>15154244.999999998</v>
      </c>
      <c r="R15" s="9">
        <f t="shared" si="3"/>
        <v>15154244.999999998</v>
      </c>
      <c r="S15" s="9">
        <f t="shared" si="3"/>
        <v>15154244.999999998</v>
      </c>
      <c r="T15" s="9">
        <f t="shared" si="3"/>
        <v>15154244.999999998</v>
      </c>
      <c r="U15" s="9">
        <f t="shared" si="3"/>
        <v>15154244.999999998</v>
      </c>
      <c r="V15" s="9">
        <f>V12*50%</f>
        <v>15154244.999999998</v>
      </c>
      <c r="W15" s="11">
        <f>SUM(C15:V15)</f>
        <v>223070486.39999998</v>
      </c>
    </row>
    <row r="16" spans="1:23" s="7" customFormat="1" x14ac:dyDescent="0.3">
      <c r="A16" s="7" t="s">
        <v>38</v>
      </c>
      <c r="B16" s="19">
        <v>20000000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>SUM(B16:V16)</f>
        <v>20000000</v>
      </c>
    </row>
    <row r="17" spans="1:23" s="7" customFormat="1" x14ac:dyDescent="0.3">
      <c r="A17" s="7" t="s">
        <v>64</v>
      </c>
      <c r="B17" s="8">
        <f>B12*40%</f>
        <v>0</v>
      </c>
      <c r="C17" s="9">
        <f>C12*83%</f>
        <v>25156046.699999996</v>
      </c>
      <c r="D17" s="9">
        <f t="shared" ref="D17:H17" si="4">D12*83%</f>
        <v>25156046.699999996</v>
      </c>
      <c r="E17" s="9">
        <f t="shared" si="4"/>
        <v>25156046.699999996</v>
      </c>
      <c r="F17" s="9">
        <f t="shared" si="4"/>
        <v>25156046.699999996</v>
      </c>
      <c r="G17" s="9">
        <f t="shared" si="4"/>
        <v>25156046.699999996</v>
      </c>
      <c r="H17" s="9">
        <f t="shared" si="4"/>
        <v>25156046.699999996</v>
      </c>
      <c r="I17" s="9">
        <f t="shared" ref="I17:V17" si="5">I12*50%</f>
        <v>15154244.999999998</v>
      </c>
      <c r="J17" s="9">
        <f t="shared" si="5"/>
        <v>15154244.999999998</v>
      </c>
      <c r="K17" s="9">
        <f t="shared" si="5"/>
        <v>15154244.999999998</v>
      </c>
      <c r="L17" s="9">
        <f t="shared" si="5"/>
        <v>15154244.999999998</v>
      </c>
      <c r="M17" s="9">
        <f t="shared" si="5"/>
        <v>15154244.999999998</v>
      </c>
      <c r="N17" s="9">
        <f t="shared" si="5"/>
        <v>15154244.999999998</v>
      </c>
      <c r="O17" s="9">
        <f t="shared" si="5"/>
        <v>15154244.999999998</v>
      </c>
      <c r="P17" s="9">
        <f t="shared" si="5"/>
        <v>15154244.999999998</v>
      </c>
      <c r="Q17" s="9">
        <f t="shared" si="5"/>
        <v>15154244.999999998</v>
      </c>
      <c r="R17" s="9">
        <f t="shared" si="5"/>
        <v>15154244.999999998</v>
      </c>
      <c r="S17" s="9">
        <f t="shared" si="5"/>
        <v>15154244.999999998</v>
      </c>
      <c r="T17" s="9">
        <f t="shared" si="5"/>
        <v>15154244.999999998</v>
      </c>
      <c r="U17" s="9">
        <f t="shared" si="5"/>
        <v>15154244.999999998</v>
      </c>
      <c r="V17" s="9">
        <f t="shared" si="5"/>
        <v>15154244.999999998</v>
      </c>
      <c r="W17" s="21">
        <f>SUM(C17:V17)</f>
        <v>363095710.19999993</v>
      </c>
    </row>
    <row r="18" spans="1:23" s="26" customFormat="1" x14ac:dyDescent="0.3">
      <c r="B18" s="27">
        <f>B17-B13</f>
        <v>-150000000</v>
      </c>
      <c r="C18" s="27">
        <f t="shared" ref="C18:V18" si="6">C17-C13</f>
        <v>25156046.699999996</v>
      </c>
      <c r="D18" s="27">
        <f t="shared" si="6"/>
        <v>25156046.699999996</v>
      </c>
      <c r="E18" s="27">
        <f t="shared" si="6"/>
        <v>25156046.699999996</v>
      </c>
      <c r="F18" s="27">
        <f t="shared" si="6"/>
        <v>25156046.699999996</v>
      </c>
      <c r="G18" s="27">
        <f t="shared" si="6"/>
        <v>25156046.699999996</v>
      </c>
      <c r="H18" s="27">
        <f t="shared" si="6"/>
        <v>25156046.699999996</v>
      </c>
      <c r="I18" s="27">
        <f t="shared" si="6"/>
        <v>15154244.999999998</v>
      </c>
      <c r="J18" s="27">
        <f t="shared" si="6"/>
        <v>15154244.999999998</v>
      </c>
      <c r="K18" s="27">
        <f t="shared" si="6"/>
        <v>15154244.999999998</v>
      </c>
      <c r="L18" s="27">
        <f t="shared" si="6"/>
        <v>15154244.999999998</v>
      </c>
      <c r="M18" s="27">
        <f t="shared" si="6"/>
        <v>15154244.999999998</v>
      </c>
      <c r="N18" s="27">
        <f t="shared" si="6"/>
        <v>15154244.999999998</v>
      </c>
      <c r="O18" s="27">
        <f t="shared" si="6"/>
        <v>15154244.999999998</v>
      </c>
      <c r="P18" s="27">
        <f t="shared" si="6"/>
        <v>15154244.999999998</v>
      </c>
      <c r="Q18" s="27">
        <f t="shared" si="6"/>
        <v>15154244.999999998</v>
      </c>
      <c r="R18" s="27">
        <f t="shared" si="6"/>
        <v>15154244.999999998</v>
      </c>
      <c r="S18" s="27">
        <f t="shared" si="6"/>
        <v>15154244.999999998</v>
      </c>
      <c r="T18" s="27">
        <f t="shared" si="6"/>
        <v>15154244.999999998</v>
      </c>
      <c r="U18" s="27">
        <f t="shared" si="6"/>
        <v>15154244.999999998</v>
      </c>
      <c r="V18" s="27">
        <f t="shared" si="6"/>
        <v>15154244.999999998</v>
      </c>
    </row>
    <row r="19" spans="1:23" s="26" customFormat="1" x14ac:dyDescent="0.3">
      <c r="A19" s="26" t="s">
        <v>10</v>
      </c>
      <c r="B19" s="27" t="s">
        <v>11</v>
      </c>
      <c r="C19" s="27" t="s">
        <v>12</v>
      </c>
      <c r="D19" s="27" t="s">
        <v>13</v>
      </c>
      <c r="E19" s="27" t="s">
        <v>14</v>
      </c>
      <c r="F19" s="27" t="s">
        <v>15</v>
      </c>
      <c r="G19" s="27" t="s">
        <v>16</v>
      </c>
      <c r="H19" s="27" t="s">
        <v>17</v>
      </c>
      <c r="I19" s="27" t="s">
        <v>18</v>
      </c>
      <c r="J19" s="27" t="s">
        <v>19</v>
      </c>
      <c r="K19" s="27" t="s">
        <v>20</v>
      </c>
      <c r="L19" s="27" t="s">
        <v>21</v>
      </c>
      <c r="M19" s="27" t="s">
        <v>22</v>
      </c>
      <c r="N19" s="27" t="s">
        <v>23</v>
      </c>
      <c r="O19" s="27" t="s">
        <v>24</v>
      </c>
      <c r="P19" s="27" t="s">
        <v>25</v>
      </c>
      <c r="Q19" s="27" t="s">
        <v>26</v>
      </c>
      <c r="R19" s="27" t="s">
        <v>27</v>
      </c>
      <c r="S19" s="27" t="s">
        <v>28</v>
      </c>
      <c r="T19" s="27" t="s">
        <v>29</v>
      </c>
      <c r="U19" s="27" t="s">
        <v>30</v>
      </c>
      <c r="V19" s="27" t="s">
        <v>31</v>
      </c>
    </row>
    <row r="20" spans="1:23" s="26" customFormat="1" x14ac:dyDescent="0.3">
      <c r="A20" s="26" t="s">
        <v>53</v>
      </c>
      <c r="B20" s="26">
        <v>150000000</v>
      </c>
      <c r="C20" s="26">
        <f>0+B20</f>
        <v>150000000</v>
      </c>
      <c r="D20" s="26">
        <f t="shared" ref="D20:V20" si="7">0+C20</f>
        <v>150000000</v>
      </c>
      <c r="E20" s="26">
        <f t="shared" si="7"/>
        <v>150000000</v>
      </c>
      <c r="F20" s="26">
        <f t="shared" si="7"/>
        <v>150000000</v>
      </c>
      <c r="G20" s="26">
        <f t="shared" si="7"/>
        <v>150000000</v>
      </c>
      <c r="H20" s="26">
        <f t="shared" si="7"/>
        <v>150000000</v>
      </c>
      <c r="I20" s="26">
        <f t="shared" si="7"/>
        <v>150000000</v>
      </c>
      <c r="J20" s="26">
        <f t="shared" si="7"/>
        <v>150000000</v>
      </c>
      <c r="K20" s="26">
        <f t="shared" si="7"/>
        <v>150000000</v>
      </c>
      <c r="L20" s="26">
        <f t="shared" si="7"/>
        <v>150000000</v>
      </c>
      <c r="M20" s="26">
        <f t="shared" si="7"/>
        <v>150000000</v>
      </c>
      <c r="N20" s="26">
        <f t="shared" si="7"/>
        <v>150000000</v>
      </c>
      <c r="O20" s="26">
        <f t="shared" si="7"/>
        <v>150000000</v>
      </c>
      <c r="P20" s="26">
        <f t="shared" si="7"/>
        <v>150000000</v>
      </c>
      <c r="Q20" s="26">
        <f t="shared" si="7"/>
        <v>150000000</v>
      </c>
      <c r="R20" s="26">
        <f t="shared" si="7"/>
        <v>150000000</v>
      </c>
      <c r="S20" s="26">
        <f t="shared" si="7"/>
        <v>150000000</v>
      </c>
      <c r="T20" s="26">
        <f t="shared" si="7"/>
        <v>150000000</v>
      </c>
      <c r="U20" s="26">
        <f t="shared" si="7"/>
        <v>150000000</v>
      </c>
      <c r="V20" s="26">
        <f t="shared" si="7"/>
        <v>150000000</v>
      </c>
    </row>
    <row r="21" spans="1:23" s="26" customFormat="1" x14ac:dyDescent="0.3">
      <c r="A21" s="26" t="s">
        <v>52</v>
      </c>
      <c r="B21" s="26">
        <v>0</v>
      </c>
      <c r="C21" s="26">
        <f>C18</f>
        <v>25156046.699999996</v>
      </c>
      <c r="D21" s="26">
        <f t="shared" ref="D21:V21" si="8">C21+D18</f>
        <v>50312093.399999991</v>
      </c>
      <c r="E21" s="26">
        <f t="shared" si="8"/>
        <v>75468140.099999994</v>
      </c>
      <c r="F21" s="26">
        <f t="shared" si="8"/>
        <v>100624186.79999998</v>
      </c>
      <c r="G21" s="26">
        <f t="shared" si="8"/>
        <v>125780233.49999997</v>
      </c>
      <c r="H21" s="26">
        <f t="shared" si="8"/>
        <v>150936280.19999996</v>
      </c>
      <c r="I21" s="26">
        <f t="shared" si="8"/>
        <v>166090525.19999996</v>
      </c>
      <c r="J21" s="26">
        <f t="shared" si="8"/>
        <v>181244770.19999996</v>
      </c>
      <c r="K21" s="26">
        <f t="shared" si="8"/>
        <v>196399015.19999996</v>
      </c>
      <c r="L21" s="26">
        <f t="shared" si="8"/>
        <v>211553260.19999996</v>
      </c>
      <c r="M21" s="26">
        <f t="shared" si="8"/>
        <v>226707505.19999996</v>
      </c>
      <c r="N21" s="26">
        <f t="shared" si="8"/>
        <v>241861750.19999996</v>
      </c>
      <c r="O21" s="26">
        <f t="shared" si="8"/>
        <v>257015995.19999996</v>
      </c>
      <c r="P21" s="26">
        <f t="shared" si="8"/>
        <v>272170240.19999993</v>
      </c>
      <c r="Q21" s="26">
        <f t="shared" si="8"/>
        <v>287324485.19999993</v>
      </c>
      <c r="R21" s="26">
        <f t="shared" si="8"/>
        <v>302478730.19999993</v>
      </c>
      <c r="S21" s="26">
        <f t="shared" si="8"/>
        <v>317632975.19999993</v>
      </c>
      <c r="T21" s="26">
        <f t="shared" si="8"/>
        <v>332787220.19999993</v>
      </c>
      <c r="U21" s="26">
        <f t="shared" si="8"/>
        <v>347941465.19999993</v>
      </c>
      <c r="V21" s="26">
        <f t="shared" si="8"/>
        <v>363095710.19999993</v>
      </c>
    </row>
    <row r="22" spans="1:23" s="16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s="16" customFormat="1" x14ac:dyDescent="0.3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s="16" customFormat="1" x14ac:dyDescent="0.3">
      <c r="A24" s="18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x14ac:dyDescent="0.3">
      <c r="A25" s="13" t="s">
        <v>35</v>
      </c>
      <c r="B25" s="14">
        <f>NPV(0.075,B13,B17:V17)</f>
        <v>313844664.84829408</v>
      </c>
      <c r="C25" s="20">
        <f>B25/B15</f>
        <v>2.0922977656552937</v>
      </c>
      <c r="D25" t="s">
        <v>40</v>
      </c>
    </row>
    <row r="26" spans="1:23" x14ac:dyDescent="0.3">
      <c r="A26" s="13" t="s">
        <v>36</v>
      </c>
      <c r="B26" s="15">
        <f>IRR(B18:V18,0.075)</f>
        <v>0.12535994855865984</v>
      </c>
    </row>
    <row r="27" spans="1:23" x14ac:dyDescent="0.3">
      <c r="A27" s="13" t="s">
        <v>45</v>
      </c>
      <c r="B27" s="25">
        <v>6</v>
      </c>
      <c r="C27" s="24" t="s">
        <v>68</v>
      </c>
      <c r="D27" t="s">
        <v>46</v>
      </c>
      <c r="E27" t="s">
        <v>46</v>
      </c>
    </row>
    <row r="28" spans="1:23" x14ac:dyDescent="0.3">
      <c r="A28" s="18" t="s">
        <v>37</v>
      </c>
      <c r="B28" t="s">
        <v>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28"/>
  <sheetViews>
    <sheetView showGridLines="0" topLeftCell="A22" zoomScale="70" zoomScaleNormal="70" workbookViewId="0">
      <selection activeCell="J32" sqref="J32"/>
    </sheetView>
  </sheetViews>
  <sheetFormatPr defaultRowHeight="14.4" x14ac:dyDescent="0.3"/>
  <cols>
    <col min="1" max="1" width="53.6640625" bestFit="1" customWidth="1"/>
    <col min="2" max="2" width="16.44140625" customWidth="1"/>
    <col min="3" max="3" width="14.77734375" customWidth="1"/>
    <col min="4" max="4" width="14.44140625" customWidth="1"/>
    <col min="5" max="5" width="15.21875" customWidth="1"/>
    <col min="6" max="19" width="14.5546875" bestFit="1" customWidth="1"/>
    <col min="20" max="20" width="14.6640625" customWidth="1"/>
    <col min="21" max="21" width="15.21875" customWidth="1"/>
    <col min="22" max="22" width="15" customWidth="1"/>
    <col min="23" max="23" width="15.777343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4500*5</f>
        <v>22500</v>
      </c>
      <c r="C2" s="1" t="s">
        <v>70</v>
      </c>
      <c r="D2" s="1"/>
    </row>
    <row r="3" spans="1:23" x14ac:dyDescent="0.3">
      <c r="A3" s="32" t="s">
        <v>59</v>
      </c>
      <c r="B3" s="2"/>
      <c r="C3" s="1"/>
      <c r="D3" s="1"/>
    </row>
    <row r="4" spans="1:23" x14ac:dyDescent="0.3">
      <c r="A4" s="34" t="s">
        <v>60</v>
      </c>
      <c r="B4" s="2"/>
      <c r="C4" s="1"/>
      <c r="D4" s="1"/>
    </row>
    <row r="5" spans="1:23" x14ac:dyDescent="0.3">
      <c r="A5" s="3" t="s">
        <v>55</v>
      </c>
      <c r="B5" s="3">
        <v>246</v>
      </c>
      <c r="C5" s="1" t="s">
        <v>3</v>
      </c>
      <c r="D5" s="1" t="s">
        <v>6</v>
      </c>
      <c r="F5" s="35">
        <v>4.6399999999999997</v>
      </c>
      <c r="G5" t="s">
        <v>62</v>
      </c>
    </row>
    <row r="6" spans="1:23" x14ac:dyDescent="0.3">
      <c r="A6" s="34" t="s">
        <v>61</v>
      </c>
      <c r="B6" s="3"/>
      <c r="C6" s="1"/>
      <c r="D6" s="1"/>
    </row>
    <row r="7" spans="1:23" x14ac:dyDescent="0.3">
      <c r="A7" s="3" t="s">
        <v>55</v>
      </c>
      <c r="B7" s="3">
        <v>119</v>
      </c>
      <c r="C7" s="1" t="s">
        <v>3</v>
      </c>
      <c r="D7" s="1" t="s">
        <v>6</v>
      </c>
      <c r="F7" s="35">
        <v>2.35</v>
      </c>
      <c r="G7" t="s">
        <v>62</v>
      </c>
    </row>
    <row r="8" spans="1:23" x14ac:dyDescent="0.3">
      <c r="C8" s="1" t="s">
        <v>56</v>
      </c>
      <c r="D8" s="1"/>
    </row>
    <row r="10" spans="1:23" s="6" customFormat="1" x14ac:dyDescent="0.3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6" t="s">
        <v>20</v>
      </c>
      <c r="L10" s="6" t="s">
        <v>21</v>
      </c>
      <c r="M10" s="6" t="s">
        <v>22</v>
      </c>
      <c r="N10" s="6" t="s">
        <v>23</v>
      </c>
      <c r="O10" s="6" t="s">
        <v>24</v>
      </c>
      <c r="P10" s="6" t="s">
        <v>25</v>
      </c>
      <c r="Q10" s="6" t="s">
        <v>26</v>
      </c>
      <c r="R10" s="6" t="s">
        <v>27</v>
      </c>
      <c r="S10" s="6" t="s">
        <v>28</v>
      </c>
      <c r="T10" s="6" t="s">
        <v>29</v>
      </c>
      <c r="U10" s="6" t="s">
        <v>30</v>
      </c>
      <c r="V10" s="6" t="s">
        <v>31</v>
      </c>
    </row>
    <row r="11" spans="1:23" x14ac:dyDescent="0.3">
      <c r="A11" t="s">
        <v>33</v>
      </c>
    </row>
    <row r="12" spans="1:23" x14ac:dyDescent="0.3">
      <c r="A12" s="7" t="s">
        <v>34</v>
      </c>
      <c r="B12" s="8">
        <v>0</v>
      </c>
      <c r="C12" s="8">
        <f>((($B$2*$B$5*$F$5)-((($B$2*$B$5*$F$5)*10%))+((($B$2*$B$7)*$F$7)+((($B$2*$B$5)*$F$7)*10%))))</f>
        <v>30707010</v>
      </c>
      <c r="D12" s="8">
        <f t="shared" ref="D12:V12" si="0">((($B$2*$B$5*$F$5)-((($B$2*$B$5*$F$5)*10%))+((($B$2*$B$7)*$F$7)+((($B$2*$B$5)*$F$7)*10%))))</f>
        <v>30707010</v>
      </c>
      <c r="E12" s="8">
        <f t="shared" si="0"/>
        <v>30707010</v>
      </c>
      <c r="F12" s="8">
        <f t="shared" si="0"/>
        <v>30707010</v>
      </c>
      <c r="G12" s="8">
        <f t="shared" si="0"/>
        <v>30707010</v>
      </c>
      <c r="H12" s="8">
        <f t="shared" si="0"/>
        <v>30707010</v>
      </c>
      <c r="I12" s="8">
        <f t="shared" si="0"/>
        <v>30707010</v>
      </c>
      <c r="J12" s="8">
        <f t="shared" si="0"/>
        <v>30707010</v>
      </c>
      <c r="K12" s="8">
        <f t="shared" si="0"/>
        <v>30707010</v>
      </c>
      <c r="L12" s="8">
        <f t="shared" si="0"/>
        <v>30707010</v>
      </c>
      <c r="M12" s="8">
        <f t="shared" si="0"/>
        <v>30707010</v>
      </c>
      <c r="N12" s="8">
        <f t="shared" si="0"/>
        <v>30707010</v>
      </c>
      <c r="O12" s="8">
        <f t="shared" si="0"/>
        <v>30707010</v>
      </c>
      <c r="P12" s="8">
        <f t="shared" si="0"/>
        <v>30707010</v>
      </c>
      <c r="Q12" s="8">
        <f t="shared" si="0"/>
        <v>30707010</v>
      </c>
      <c r="R12" s="8">
        <f t="shared" si="0"/>
        <v>30707010</v>
      </c>
      <c r="S12" s="8">
        <f t="shared" si="0"/>
        <v>30707010</v>
      </c>
      <c r="T12" s="8">
        <f t="shared" si="0"/>
        <v>30707010</v>
      </c>
      <c r="U12" s="8">
        <f t="shared" si="0"/>
        <v>30707010</v>
      </c>
      <c r="V12" s="8">
        <f t="shared" si="0"/>
        <v>30707010</v>
      </c>
      <c r="W12" s="11">
        <f>SUM(B12:V12)</f>
        <v>614140200</v>
      </c>
    </row>
    <row r="13" spans="1:23" s="6" customFormat="1" x14ac:dyDescent="0.3">
      <c r="A13" s="7" t="s">
        <v>39</v>
      </c>
      <c r="B13" s="8">
        <v>150000000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ref="W13:W14" si="1">SUM(B13:V13)</f>
        <v>150000000</v>
      </c>
    </row>
    <row r="14" spans="1:23" x14ac:dyDescent="0.3">
      <c r="A14" t="s">
        <v>32</v>
      </c>
      <c r="W14" s="11">
        <f t="shared" si="1"/>
        <v>0</v>
      </c>
    </row>
    <row r="15" spans="1:23" s="7" customFormat="1" x14ac:dyDescent="0.3">
      <c r="A15" s="7" t="s">
        <v>65</v>
      </c>
      <c r="B15" s="12">
        <f>B13</f>
        <v>150000000</v>
      </c>
      <c r="C15" s="9">
        <f>C12*17%</f>
        <v>5220191.7</v>
      </c>
      <c r="D15" s="9">
        <f t="shared" ref="D15:J15" si="2">D12*17%</f>
        <v>5220191.7</v>
      </c>
      <c r="E15" s="9">
        <f t="shared" si="2"/>
        <v>5220191.7</v>
      </c>
      <c r="F15" s="9">
        <f t="shared" si="2"/>
        <v>5220191.7</v>
      </c>
      <c r="G15" s="9">
        <f t="shared" si="2"/>
        <v>5220191.7</v>
      </c>
      <c r="H15" s="9">
        <f t="shared" si="2"/>
        <v>5220191.7</v>
      </c>
      <c r="I15" s="9">
        <f t="shared" si="2"/>
        <v>5220191.7</v>
      </c>
      <c r="J15" s="9">
        <f t="shared" si="2"/>
        <v>5220191.7</v>
      </c>
      <c r="K15" s="9">
        <f t="shared" ref="K15:U15" si="3">K12*50%</f>
        <v>15353505</v>
      </c>
      <c r="L15" s="9">
        <f t="shared" si="3"/>
        <v>15353505</v>
      </c>
      <c r="M15" s="9">
        <f t="shared" si="3"/>
        <v>15353505</v>
      </c>
      <c r="N15" s="9">
        <f t="shared" si="3"/>
        <v>15353505</v>
      </c>
      <c r="O15" s="9">
        <f t="shared" si="3"/>
        <v>15353505</v>
      </c>
      <c r="P15" s="9">
        <f t="shared" si="3"/>
        <v>15353505</v>
      </c>
      <c r="Q15" s="9">
        <f t="shared" si="3"/>
        <v>15353505</v>
      </c>
      <c r="R15" s="9">
        <f t="shared" si="3"/>
        <v>15353505</v>
      </c>
      <c r="S15" s="9">
        <f t="shared" si="3"/>
        <v>15353505</v>
      </c>
      <c r="T15" s="9">
        <f t="shared" si="3"/>
        <v>15353505</v>
      </c>
      <c r="U15" s="9">
        <f t="shared" si="3"/>
        <v>15353505</v>
      </c>
      <c r="V15" s="9">
        <f>V12*50%</f>
        <v>15353505</v>
      </c>
      <c r="W15" s="11">
        <f>SUM(C15:V15)</f>
        <v>226003593.59999999</v>
      </c>
    </row>
    <row r="16" spans="1:23" s="7" customFormat="1" x14ac:dyDescent="0.3">
      <c r="A16" s="7" t="s">
        <v>38</v>
      </c>
      <c r="B16" s="19">
        <v>20000000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>SUM(B16:V16)</f>
        <v>20000000</v>
      </c>
    </row>
    <row r="17" spans="1:23" s="7" customFormat="1" x14ac:dyDescent="0.3">
      <c r="A17" s="7" t="s">
        <v>64</v>
      </c>
      <c r="B17" s="8">
        <f>B12*40%</f>
        <v>0</v>
      </c>
      <c r="C17" s="9">
        <f>C12*83%</f>
        <v>25486818.299999997</v>
      </c>
      <c r="D17" s="9">
        <f t="shared" ref="D17:G17" si="4">D12*83%</f>
        <v>25486818.299999997</v>
      </c>
      <c r="E17" s="9">
        <f t="shared" si="4"/>
        <v>25486818.299999997</v>
      </c>
      <c r="F17" s="9">
        <f t="shared" si="4"/>
        <v>25486818.299999997</v>
      </c>
      <c r="G17" s="9">
        <f t="shared" si="4"/>
        <v>25486818.299999997</v>
      </c>
      <c r="H17" s="9">
        <f>(H12/12*83%)*11+(H12/12*50%)*1</f>
        <v>24642375.524999999</v>
      </c>
      <c r="I17" s="9">
        <f t="shared" ref="I17:V17" si="5">I12*50%</f>
        <v>15353505</v>
      </c>
      <c r="J17" s="9">
        <f t="shared" si="5"/>
        <v>15353505</v>
      </c>
      <c r="K17" s="9">
        <f t="shared" si="5"/>
        <v>15353505</v>
      </c>
      <c r="L17" s="9">
        <f t="shared" si="5"/>
        <v>15353505</v>
      </c>
      <c r="M17" s="9">
        <f t="shared" si="5"/>
        <v>15353505</v>
      </c>
      <c r="N17" s="9">
        <f t="shared" si="5"/>
        <v>15353505</v>
      </c>
      <c r="O17" s="9">
        <f t="shared" si="5"/>
        <v>15353505</v>
      </c>
      <c r="P17" s="9">
        <f t="shared" si="5"/>
        <v>15353505</v>
      </c>
      <c r="Q17" s="9">
        <f t="shared" si="5"/>
        <v>15353505</v>
      </c>
      <c r="R17" s="9">
        <f t="shared" si="5"/>
        <v>15353505</v>
      </c>
      <c r="S17" s="9">
        <f t="shared" si="5"/>
        <v>15353505</v>
      </c>
      <c r="T17" s="9">
        <f t="shared" si="5"/>
        <v>15353505</v>
      </c>
      <c r="U17" s="9">
        <f t="shared" si="5"/>
        <v>15353505</v>
      </c>
      <c r="V17" s="9">
        <f t="shared" si="5"/>
        <v>15353505</v>
      </c>
      <c r="W17" s="21">
        <f>SUM(C17:V17)</f>
        <v>367025537.02499998</v>
      </c>
    </row>
    <row r="18" spans="1:23" s="26" customFormat="1" x14ac:dyDescent="0.3">
      <c r="B18" s="27">
        <f>B17-B13</f>
        <v>-150000000</v>
      </c>
      <c r="C18" s="27">
        <f t="shared" ref="C18:V18" si="6">C17-C13</f>
        <v>25486818.299999997</v>
      </c>
      <c r="D18" s="27">
        <f t="shared" si="6"/>
        <v>25486818.299999997</v>
      </c>
      <c r="E18" s="27">
        <f t="shared" si="6"/>
        <v>25486818.299999997</v>
      </c>
      <c r="F18" s="27">
        <f t="shared" si="6"/>
        <v>25486818.299999997</v>
      </c>
      <c r="G18" s="27">
        <f t="shared" si="6"/>
        <v>25486818.299999997</v>
      </c>
      <c r="H18" s="27">
        <f t="shared" si="6"/>
        <v>24642375.524999999</v>
      </c>
      <c r="I18" s="27">
        <f t="shared" si="6"/>
        <v>15353505</v>
      </c>
      <c r="J18" s="27">
        <f t="shared" si="6"/>
        <v>15353505</v>
      </c>
      <c r="K18" s="27">
        <f t="shared" si="6"/>
        <v>15353505</v>
      </c>
      <c r="L18" s="27">
        <f t="shared" si="6"/>
        <v>15353505</v>
      </c>
      <c r="M18" s="27">
        <f t="shared" si="6"/>
        <v>15353505</v>
      </c>
      <c r="N18" s="27">
        <f t="shared" si="6"/>
        <v>15353505</v>
      </c>
      <c r="O18" s="27">
        <f t="shared" si="6"/>
        <v>15353505</v>
      </c>
      <c r="P18" s="27">
        <f t="shared" si="6"/>
        <v>15353505</v>
      </c>
      <c r="Q18" s="27">
        <f t="shared" si="6"/>
        <v>15353505</v>
      </c>
      <c r="R18" s="27">
        <f t="shared" si="6"/>
        <v>15353505</v>
      </c>
      <c r="S18" s="27">
        <f t="shared" si="6"/>
        <v>15353505</v>
      </c>
      <c r="T18" s="27">
        <f t="shared" si="6"/>
        <v>15353505</v>
      </c>
      <c r="U18" s="27">
        <f t="shared" si="6"/>
        <v>15353505</v>
      </c>
      <c r="V18" s="27">
        <f t="shared" si="6"/>
        <v>15353505</v>
      </c>
    </row>
    <row r="19" spans="1:23" s="26" customFormat="1" x14ac:dyDescent="0.3">
      <c r="A19" s="26" t="s">
        <v>10</v>
      </c>
      <c r="B19" s="27" t="s">
        <v>11</v>
      </c>
      <c r="C19" s="27" t="s">
        <v>12</v>
      </c>
      <c r="D19" s="27" t="s">
        <v>13</v>
      </c>
      <c r="E19" s="27" t="s">
        <v>14</v>
      </c>
      <c r="F19" s="27" t="s">
        <v>15</v>
      </c>
      <c r="G19" s="27" t="s">
        <v>16</v>
      </c>
      <c r="H19" s="27" t="s">
        <v>17</v>
      </c>
      <c r="I19" s="27" t="s">
        <v>18</v>
      </c>
      <c r="J19" s="27" t="s">
        <v>19</v>
      </c>
      <c r="K19" s="27" t="s">
        <v>20</v>
      </c>
      <c r="L19" s="27" t="s">
        <v>21</v>
      </c>
      <c r="M19" s="27" t="s">
        <v>22</v>
      </c>
      <c r="N19" s="27" t="s">
        <v>23</v>
      </c>
      <c r="O19" s="27" t="s">
        <v>24</v>
      </c>
      <c r="P19" s="27" t="s">
        <v>25</v>
      </c>
      <c r="Q19" s="27" t="s">
        <v>26</v>
      </c>
      <c r="R19" s="27" t="s">
        <v>27</v>
      </c>
      <c r="S19" s="27" t="s">
        <v>28</v>
      </c>
      <c r="T19" s="27" t="s">
        <v>29</v>
      </c>
      <c r="U19" s="27" t="s">
        <v>30</v>
      </c>
      <c r="V19" s="27" t="s">
        <v>31</v>
      </c>
    </row>
    <row r="20" spans="1:23" s="26" customFormat="1" x14ac:dyDescent="0.3">
      <c r="A20" s="26" t="s">
        <v>53</v>
      </c>
      <c r="B20" s="26">
        <v>150000000</v>
      </c>
      <c r="C20" s="26">
        <f>0+B20</f>
        <v>150000000</v>
      </c>
      <c r="D20" s="26">
        <f t="shared" ref="D20:V20" si="7">0+C20</f>
        <v>150000000</v>
      </c>
      <c r="E20" s="26">
        <f t="shared" si="7"/>
        <v>150000000</v>
      </c>
      <c r="F20" s="26">
        <f t="shared" si="7"/>
        <v>150000000</v>
      </c>
      <c r="G20" s="26">
        <f t="shared" si="7"/>
        <v>150000000</v>
      </c>
      <c r="H20" s="26">
        <f t="shared" si="7"/>
        <v>150000000</v>
      </c>
      <c r="I20" s="26">
        <f t="shared" si="7"/>
        <v>150000000</v>
      </c>
      <c r="J20" s="26">
        <f t="shared" si="7"/>
        <v>150000000</v>
      </c>
      <c r="K20" s="26">
        <f t="shared" si="7"/>
        <v>150000000</v>
      </c>
      <c r="L20" s="26">
        <f t="shared" si="7"/>
        <v>150000000</v>
      </c>
      <c r="M20" s="26">
        <f t="shared" si="7"/>
        <v>150000000</v>
      </c>
      <c r="N20" s="26">
        <f t="shared" si="7"/>
        <v>150000000</v>
      </c>
      <c r="O20" s="26">
        <f t="shared" si="7"/>
        <v>150000000</v>
      </c>
      <c r="P20" s="26">
        <f t="shared" si="7"/>
        <v>150000000</v>
      </c>
      <c r="Q20" s="26">
        <f t="shared" si="7"/>
        <v>150000000</v>
      </c>
      <c r="R20" s="26">
        <f t="shared" si="7"/>
        <v>150000000</v>
      </c>
      <c r="S20" s="26">
        <f t="shared" si="7"/>
        <v>150000000</v>
      </c>
      <c r="T20" s="26">
        <f t="shared" si="7"/>
        <v>150000000</v>
      </c>
      <c r="U20" s="26">
        <f t="shared" si="7"/>
        <v>150000000</v>
      </c>
      <c r="V20" s="26">
        <f t="shared" si="7"/>
        <v>150000000</v>
      </c>
    </row>
    <row r="21" spans="1:23" s="26" customFormat="1" x14ac:dyDescent="0.3">
      <c r="A21" s="26" t="s">
        <v>52</v>
      </c>
      <c r="B21" s="26">
        <v>0</v>
      </c>
      <c r="C21" s="26">
        <f>C18</f>
        <v>25486818.299999997</v>
      </c>
      <c r="D21" s="26">
        <f t="shared" ref="D21:V21" si="8">C21+D18</f>
        <v>50973636.599999994</v>
      </c>
      <c r="E21" s="26">
        <f t="shared" si="8"/>
        <v>76460454.899999991</v>
      </c>
      <c r="F21" s="26">
        <f t="shared" si="8"/>
        <v>101947273.19999999</v>
      </c>
      <c r="G21" s="26">
        <f t="shared" si="8"/>
        <v>127434091.49999999</v>
      </c>
      <c r="H21" s="26">
        <f t="shared" si="8"/>
        <v>152076467.02499998</v>
      </c>
      <c r="I21" s="26">
        <f t="shared" si="8"/>
        <v>167429972.02499998</v>
      </c>
      <c r="J21" s="26">
        <f t="shared" si="8"/>
        <v>182783477.02499998</v>
      </c>
      <c r="K21" s="26">
        <f t="shared" si="8"/>
        <v>198136982.02499998</v>
      </c>
      <c r="L21" s="26">
        <f t="shared" si="8"/>
        <v>213490487.02499998</v>
      </c>
      <c r="M21" s="26">
        <f t="shared" si="8"/>
        <v>228843992.02499998</v>
      </c>
      <c r="N21" s="26">
        <f t="shared" si="8"/>
        <v>244197497.02499998</v>
      </c>
      <c r="O21" s="26">
        <f t="shared" si="8"/>
        <v>259551002.02499998</v>
      </c>
      <c r="P21" s="26">
        <f t="shared" si="8"/>
        <v>274904507.02499998</v>
      </c>
      <c r="Q21" s="26">
        <f t="shared" si="8"/>
        <v>290258012.02499998</v>
      </c>
      <c r="R21" s="26">
        <f t="shared" si="8"/>
        <v>305611517.02499998</v>
      </c>
      <c r="S21" s="26">
        <f t="shared" si="8"/>
        <v>320965022.02499998</v>
      </c>
      <c r="T21" s="26">
        <f t="shared" si="8"/>
        <v>336318527.02499998</v>
      </c>
      <c r="U21" s="26">
        <f t="shared" si="8"/>
        <v>351672032.02499998</v>
      </c>
      <c r="V21" s="26">
        <f t="shared" si="8"/>
        <v>367025537.02499998</v>
      </c>
    </row>
    <row r="22" spans="1:23" s="16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3" s="16" customFormat="1" x14ac:dyDescent="0.3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3" s="16" customFormat="1" x14ac:dyDescent="0.3">
      <c r="A24" s="18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3" x14ac:dyDescent="0.3">
      <c r="A25" s="13" t="s">
        <v>35</v>
      </c>
      <c r="B25" s="14">
        <f>NPV(0.075,B13,B17:V17)</f>
        <v>315663146.77659792</v>
      </c>
      <c r="C25" s="20">
        <f>B25/B15</f>
        <v>2.1044209785106527</v>
      </c>
      <c r="D25" t="s">
        <v>40</v>
      </c>
    </row>
    <row r="26" spans="1:23" x14ac:dyDescent="0.3">
      <c r="A26" s="13" t="s">
        <v>36</v>
      </c>
      <c r="B26" s="15">
        <f>IRR(B18:V18,0.075)</f>
        <v>0.12734183499967822</v>
      </c>
    </row>
    <row r="27" spans="1:23" x14ac:dyDescent="0.3">
      <c r="A27" s="13" t="s">
        <v>45</v>
      </c>
      <c r="B27" s="25">
        <v>5.92</v>
      </c>
      <c r="C27" s="24" t="s">
        <v>69</v>
      </c>
      <c r="D27" t="s">
        <v>46</v>
      </c>
      <c r="E27" t="s">
        <v>46</v>
      </c>
    </row>
    <row r="28" spans="1:23" x14ac:dyDescent="0.3">
      <c r="A28" s="18" t="s">
        <v>37</v>
      </c>
      <c r="B28" t="s">
        <v>48</v>
      </c>
    </row>
  </sheetData>
  <pageMargins left="0.7" right="0.7" top="0.75" bottom="0.75" header="0.3" footer="0.3"/>
  <pageSetup paperSize="9" scale="3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8"/>
  <sheetViews>
    <sheetView topLeftCell="O5" zoomScale="99" zoomScaleNormal="99" workbookViewId="0">
      <selection activeCell="A19" sqref="A19:V19"/>
    </sheetView>
  </sheetViews>
  <sheetFormatPr defaultRowHeight="14.4" x14ac:dyDescent="0.3"/>
  <cols>
    <col min="1" max="1" width="53.6640625" bestFit="1" customWidth="1"/>
    <col min="2" max="2" width="17.5546875" customWidth="1"/>
    <col min="3" max="23" width="16.88671875" customWidth="1"/>
  </cols>
  <sheetData>
    <row r="1" spans="1:23" x14ac:dyDescent="0.3">
      <c r="A1" t="s">
        <v>9</v>
      </c>
      <c r="D1" s="1"/>
    </row>
    <row r="2" spans="1:23" x14ac:dyDescent="0.3">
      <c r="A2" s="1" t="s">
        <v>0</v>
      </c>
      <c r="B2" s="2">
        <f>4500*5</f>
        <v>22500</v>
      </c>
      <c r="C2" s="1" t="s">
        <v>70</v>
      </c>
      <c r="D2" s="1"/>
    </row>
    <row r="3" spans="1:23" x14ac:dyDescent="0.3">
      <c r="A3" s="32" t="s">
        <v>59</v>
      </c>
      <c r="B3" s="2"/>
      <c r="C3" s="1"/>
      <c r="D3" s="1"/>
    </row>
    <row r="4" spans="1:23" x14ac:dyDescent="0.3">
      <c r="A4" s="34" t="s">
        <v>60</v>
      </c>
      <c r="B4" s="2"/>
      <c r="C4" s="1"/>
      <c r="D4" s="1"/>
    </row>
    <row r="5" spans="1:23" x14ac:dyDescent="0.3">
      <c r="A5" s="3" t="s">
        <v>55</v>
      </c>
      <c r="B5" s="3">
        <v>246</v>
      </c>
      <c r="C5" s="1" t="s">
        <v>3</v>
      </c>
      <c r="D5" s="1" t="s">
        <v>6</v>
      </c>
      <c r="F5" s="35">
        <v>4.6399999999999997</v>
      </c>
      <c r="G5" t="s">
        <v>62</v>
      </c>
    </row>
    <row r="6" spans="1:23" x14ac:dyDescent="0.3">
      <c r="A6" s="34" t="s">
        <v>61</v>
      </c>
      <c r="B6" s="3"/>
      <c r="C6" s="1"/>
      <c r="D6" s="1"/>
    </row>
    <row r="7" spans="1:23" x14ac:dyDescent="0.3">
      <c r="A7" s="3" t="s">
        <v>55</v>
      </c>
      <c r="B7" s="3">
        <v>119</v>
      </c>
      <c r="C7" s="1" t="s">
        <v>3</v>
      </c>
      <c r="D7" s="1" t="s">
        <v>6</v>
      </c>
      <c r="F7" s="35">
        <v>2.35</v>
      </c>
      <c r="G7" t="s">
        <v>62</v>
      </c>
    </row>
    <row r="8" spans="1:23" x14ac:dyDescent="0.3">
      <c r="C8" s="1" t="s">
        <v>56</v>
      </c>
      <c r="D8" s="1"/>
    </row>
    <row r="10" spans="1:23" s="6" customFormat="1" x14ac:dyDescent="0.3">
      <c r="A10" s="6" t="s">
        <v>10</v>
      </c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6" t="s">
        <v>20</v>
      </c>
      <c r="L10" s="6" t="s">
        <v>21</v>
      </c>
      <c r="M10" s="6" t="s">
        <v>22</v>
      </c>
      <c r="N10" s="6" t="s">
        <v>23</v>
      </c>
      <c r="O10" s="6" t="s">
        <v>24</v>
      </c>
      <c r="P10" s="6" t="s">
        <v>25</v>
      </c>
      <c r="Q10" s="6" t="s">
        <v>26</v>
      </c>
      <c r="R10" s="6" t="s">
        <v>27</v>
      </c>
      <c r="S10" s="6" t="s">
        <v>28</v>
      </c>
      <c r="T10" s="6" t="s">
        <v>29</v>
      </c>
      <c r="U10" s="6" t="s">
        <v>30</v>
      </c>
      <c r="V10" s="6" t="s">
        <v>31</v>
      </c>
    </row>
    <row r="11" spans="1:23" x14ac:dyDescent="0.3">
      <c r="A11" t="s">
        <v>33</v>
      </c>
    </row>
    <row r="12" spans="1:23" x14ac:dyDescent="0.3">
      <c r="A12" s="7" t="s">
        <v>34</v>
      </c>
      <c r="B12" s="8">
        <v>0</v>
      </c>
      <c r="C12" s="8">
        <f>((($B$2*$B$5*$F$5)-((($B$2*$B$5*$F$5)*10%))+((($B$2*$B$7)*$F$7)+((($B$2*$B$5)*$F$7)*10%))))</f>
        <v>30707010</v>
      </c>
      <c r="D12" s="8">
        <f t="shared" ref="D12:V12" si="0">((($B$2*$B$5*$F$5)-((($B$2*$B$5*$F$5)*10%))+((($B$2*$B$7)*$F$7)+((($B$2*$B$5)*$F$7)*10%))))</f>
        <v>30707010</v>
      </c>
      <c r="E12" s="8">
        <f t="shared" si="0"/>
        <v>30707010</v>
      </c>
      <c r="F12" s="8">
        <f t="shared" si="0"/>
        <v>30707010</v>
      </c>
      <c r="G12" s="8">
        <f t="shared" si="0"/>
        <v>30707010</v>
      </c>
      <c r="H12" s="8">
        <f t="shared" si="0"/>
        <v>30707010</v>
      </c>
      <c r="I12" s="8">
        <f t="shared" si="0"/>
        <v>30707010</v>
      </c>
      <c r="J12" s="8">
        <f t="shared" si="0"/>
        <v>30707010</v>
      </c>
      <c r="K12" s="8">
        <f t="shared" si="0"/>
        <v>30707010</v>
      </c>
      <c r="L12" s="8">
        <f t="shared" si="0"/>
        <v>30707010</v>
      </c>
      <c r="M12" s="8">
        <f t="shared" si="0"/>
        <v>30707010</v>
      </c>
      <c r="N12" s="8">
        <f t="shared" si="0"/>
        <v>30707010</v>
      </c>
      <c r="O12" s="8">
        <f t="shared" si="0"/>
        <v>30707010</v>
      </c>
      <c r="P12" s="8">
        <f t="shared" si="0"/>
        <v>30707010</v>
      </c>
      <c r="Q12" s="8">
        <f t="shared" si="0"/>
        <v>30707010</v>
      </c>
      <c r="R12" s="8">
        <f t="shared" si="0"/>
        <v>30707010</v>
      </c>
      <c r="S12" s="8">
        <f t="shared" si="0"/>
        <v>30707010</v>
      </c>
      <c r="T12" s="8">
        <f t="shared" si="0"/>
        <v>30707010</v>
      </c>
      <c r="U12" s="8">
        <f t="shared" si="0"/>
        <v>30707010</v>
      </c>
      <c r="V12" s="8">
        <f t="shared" si="0"/>
        <v>30707010</v>
      </c>
      <c r="W12" s="11">
        <f>SUM(B12:V12)</f>
        <v>614140200</v>
      </c>
    </row>
    <row r="13" spans="1:23" s="6" customFormat="1" x14ac:dyDescent="0.3">
      <c r="A13" s="7" t="s">
        <v>39</v>
      </c>
      <c r="B13" s="8">
        <v>130000000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f t="shared" ref="W13:W14" si="1">SUM(B13:V13)</f>
        <v>130000000</v>
      </c>
    </row>
    <row r="14" spans="1:23" x14ac:dyDescent="0.3">
      <c r="A14" t="s">
        <v>32</v>
      </c>
      <c r="W14" s="11">
        <f t="shared" si="1"/>
        <v>0</v>
      </c>
    </row>
    <row r="15" spans="1:23" s="7" customFormat="1" x14ac:dyDescent="0.3">
      <c r="A15" s="7" t="s">
        <v>65</v>
      </c>
      <c r="B15" s="12">
        <f>B13</f>
        <v>130000000</v>
      </c>
      <c r="C15" s="9">
        <f>C12*17%</f>
        <v>5220191.7</v>
      </c>
      <c r="D15" s="9">
        <f t="shared" ref="D15:J15" si="2">D12*17%</f>
        <v>5220191.7</v>
      </c>
      <c r="E15" s="9">
        <f t="shared" si="2"/>
        <v>5220191.7</v>
      </c>
      <c r="F15" s="9">
        <f t="shared" si="2"/>
        <v>5220191.7</v>
      </c>
      <c r="G15" s="9">
        <f t="shared" si="2"/>
        <v>5220191.7</v>
      </c>
      <c r="H15" s="9">
        <f t="shared" si="2"/>
        <v>5220191.7</v>
      </c>
      <c r="I15" s="9">
        <f t="shared" si="2"/>
        <v>5220191.7</v>
      </c>
      <c r="J15" s="9">
        <f t="shared" si="2"/>
        <v>5220191.7</v>
      </c>
      <c r="K15" s="9">
        <f t="shared" ref="K15:U15" si="3">K12*50%</f>
        <v>15353505</v>
      </c>
      <c r="L15" s="9">
        <f t="shared" si="3"/>
        <v>15353505</v>
      </c>
      <c r="M15" s="9">
        <f t="shared" si="3"/>
        <v>15353505</v>
      </c>
      <c r="N15" s="9">
        <f t="shared" si="3"/>
        <v>15353505</v>
      </c>
      <c r="O15" s="9">
        <f t="shared" si="3"/>
        <v>15353505</v>
      </c>
      <c r="P15" s="9">
        <f t="shared" si="3"/>
        <v>15353505</v>
      </c>
      <c r="Q15" s="9">
        <f t="shared" si="3"/>
        <v>15353505</v>
      </c>
      <c r="R15" s="9">
        <f t="shared" si="3"/>
        <v>15353505</v>
      </c>
      <c r="S15" s="9">
        <f t="shared" si="3"/>
        <v>15353505</v>
      </c>
      <c r="T15" s="9">
        <f t="shared" si="3"/>
        <v>15353505</v>
      </c>
      <c r="U15" s="9">
        <f t="shared" si="3"/>
        <v>15353505</v>
      </c>
      <c r="V15" s="9">
        <f>V12*50%</f>
        <v>15353505</v>
      </c>
      <c r="W15" s="11">
        <f>SUM(C15:V15)</f>
        <v>226003593.59999999</v>
      </c>
    </row>
    <row r="16" spans="1:23" s="7" customFormat="1" x14ac:dyDescent="0.3">
      <c r="A16" s="7" t="s">
        <v>38</v>
      </c>
      <c r="B16" s="19">
        <v>20000000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f>SUM(B16:V16)</f>
        <v>20000000</v>
      </c>
    </row>
    <row r="17" spans="1:24" s="7" customFormat="1" x14ac:dyDescent="0.3">
      <c r="A17" s="7" t="s">
        <v>64</v>
      </c>
      <c r="B17" s="8">
        <f>B12*40%</f>
        <v>0</v>
      </c>
      <c r="C17" s="9">
        <f>C12*83%</f>
        <v>25486818.299999997</v>
      </c>
      <c r="D17" s="9">
        <f t="shared" ref="D17:G17" si="4">D12*83%</f>
        <v>25486818.299999997</v>
      </c>
      <c r="E17" s="9">
        <f t="shared" si="4"/>
        <v>25486818.299999997</v>
      </c>
      <c r="F17" s="9">
        <f t="shared" si="4"/>
        <v>25486818.299999997</v>
      </c>
      <c r="G17" s="9">
        <f t="shared" si="4"/>
        <v>25486818.299999997</v>
      </c>
      <c r="H17" s="9">
        <f>(H12/12*83%)*2+(H12/12*50%)*10</f>
        <v>17042390.550000001</v>
      </c>
      <c r="I17" s="9">
        <f t="shared" ref="I17:V17" si="5">I12*50%</f>
        <v>15353505</v>
      </c>
      <c r="J17" s="9">
        <f t="shared" si="5"/>
        <v>15353505</v>
      </c>
      <c r="K17" s="9">
        <f t="shared" si="5"/>
        <v>15353505</v>
      </c>
      <c r="L17" s="9">
        <f t="shared" si="5"/>
        <v>15353505</v>
      </c>
      <c r="M17" s="9">
        <f t="shared" si="5"/>
        <v>15353505</v>
      </c>
      <c r="N17" s="9">
        <f t="shared" si="5"/>
        <v>15353505</v>
      </c>
      <c r="O17" s="9">
        <f t="shared" si="5"/>
        <v>15353505</v>
      </c>
      <c r="P17" s="9">
        <f t="shared" si="5"/>
        <v>15353505</v>
      </c>
      <c r="Q17" s="9">
        <f t="shared" si="5"/>
        <v>15353505</v>
      </c>
      <c r="R17" s="9">
        <f t="shared" si="5"/>
        <v>15353505</v>
      </c>
      <c r="S17" s="9">
        <f t="shared" si="5"/>
        <v>15353505</v>
      </c>
      <c r="T17" s="9">
        <f t="shared" si="5"/>
        <v>15353505</v>
      </c>
      <c r="U17" s="9">
        <f t="shared" si="5"/>
        <v>15353505</v>
      </c>
      <c r="V17" s="9">
        <f t="shared" si="5"/>
        <v>15353505</v>
      </c>
      <c r="W17" s="21">
        <f>SUM(C17:V17)</f>
        <v>359425552.04999995</v>
      </c>
    </row>
    <row r="18" spans="1:24" s="26" customFormat="1" x14ac:dyDescent="0.3">
      <c r="A18" s="47"/>
      <c r="B18" s="55">
        <f>B17-B13</f>
        <v>-130000000</v>
      </c>
      <c r="C18" s="55">
        <f t="shared" ref="C18:V18" si="6">C17-C13</f>
        <v>25486818.299999997</v>
      </c>
      <c r="D18" s="55">
        <f t="shared" si="6"/>
        <v>25486818.299999997</v>
      </c>
      <c r="E18" s="55">
        <f t="shared" si="6"/>
        <v>25486818.299999997</v>
      </c>
      <c r="F18" s="55">
        <f t="shared" si="6"/>
        <v>25486818.299999997</v>
      </c>
      <c r="G18" s="55">
        <f t="shared" si="6"/>
        <v>25486818.299999997</v>
      </c>
      <c r="H18" s="55">
        <f t="shared" si="6"/>
        <v>17042390.550000001</v>
      </c>
      <c r="I18" s="55">
        <f t="shared" si="6"/>
        <v>15353505</v>
      </c>
      <c r="J18" s="55">
        <f t="shared" si="6"/>
        <v>15353505</v>
      </c>
      <c r="K18" s="55">
        <f t="shared" si="6"/>
        <v>15353505</v>
      </c>
      <c r="L18" s="55">
        <f t="shared" si="6"/>
        <v>15353505</v>
      </c>
      <c r="M18" s="55">
        <f t="shared" si="6"/>
        <v>15353505</v>
      </c>
      <c r="N18" s="55">
        <f t="shared" si="6"/>
        <v>15353505</v>
      </c>
      <c r="O18" s="55">
        <f t="shared" si="6"/>
        <v>15353505</v>
      </c>
      <c r="P18" s="55">
        <f t="shared" si="6"/>
        <v>15353505</v>
      </c>
      <c r="Q18" s="55">
        <f t="shared" si="6"/>
        <v>15353505</v>
      </c>
      <c r="R18" s="55">
        <f t="shared" si="6"/>
        <v>15353505</v>
      </c>
      <c r="S18" s="55">
        <f t="shared" si="6"/>
        <v>15353505</v>
      </c>
      <c r="T18" s="55">
        <f t="shared" si="6"/>
        <v>15353505</v>
      </c>
      <c r="U18" s="55">
        <f t="shared" si="6"/>
        <v>15353505</v>
      </c>
      <c r="V18" s="55">
        <f t="shared" si="6"/>
        <v>15353505</v>
      </c>
      <c r="W18" s="47"/>
      <c r="X18" s="47"/>
    </row>
    <row r="19" spans="1:24" s="26" customFormat="1" x14ac:dyDescent="0.3">
      <c r="A19" s="47" t="s">
        <v>10</v>
      </c>
      <c r="B19" s="55" t="s">
        <v>11</v>
      </c>
      <c r="C19" s="55" t="s">
        <v>12</v>
      </c>
      <c r="D19" s="55" t="s">
        <v>13</v>
      </c>
      <c r="E19" s="55" t="s">
        <v>14</v>
      </c>
      <c r="F19" s="55" t="s">
        <v>15</v>
      </c>
      <c r="G19" s="55" t="s">
        <v>16</v>
      </c>
      <c r="H19" s="55" t="s">
        <v>17</v>
      </c>
      <c r="I19" s="55" t="s">
        <v>18</v>
      </c>
      <c r="J19" s="55" t="s">
        <v>19</v>
      </c>
      <c r="K19" s="55" t="s">
        <v>20</v>
      </c>
      <c r="L19" s="55" t="s">
        <v>21</v>
      </c>
      <c r="M19" s="55" t="s">
        <v>22</v>
      </c>
      <c r="N19" s="55" t="s">
        <v>23</v>
      </c>
      <c r="O19" s="55" t="s">
        <v>24</v>
      </c>
      <c r="P19" s="55" t="s">
        <v>25</v>
      </c>
      <c r="Q19" s="55" t="s">
        <v>26</v>
      </c>
      <c r="R19" s="55" t="s">
        <v>27</v>
      </c>
      <c r="S19" s="55" t="s">
        <v>28</v>
      </c>
      <c r="T19" s="55" t="s">
        <v>29</v>
      </c>
      <c r="U19" s="55" t="s">
        <v>30</v>
      </c>
      <c r="V19" s="55" t="s">
        <v>31</v>
      </c>
      <c r="W19" s="47"/>
      <c r="X19" s="47"/>
    </row>
    <row r="20" spans="1:24" s="26" customFormat="1" x14ac:dyDescent="0.3">
      <c r="A20" s="47" t="s">
        <v>53</v>
      </c>
      <c r="B20" s="54">
        <v>150000000</v>
      </c>
      <c r="C20" s="54">
        <f>0+B20</f>
        <v>150000000</v>
      </c>
      <c r="D20" s="54">
        <f t="shared" ref="D20:V20" si="7">0+C20</f>
        <v>150000000</v>
      </c>
      <c r="E20" s="54">
        <f t="shared" si="7"/>
        <v>150000000</v>
      </c>
      <c r="F20" s="54">
        <f t="shared" si="7"/>
        <v>150000000</v>
      </c>
      <c r="G20" s="54">
        <f t="shared" si="7"/>
        <v>150000000</v>
      </c>
      <c r="H20" s="54">
        <f t="shared" si="7"/>
        <v>150000000</v>
      </c>
      <c r="I20" s="54">
        <f t="shared" si="7"/>
        <v>150000000</v>
      </c>
      <c r="J20" s="54">
        <f t="shared" si="7"/>
        <v>150000000</v>
      </c>
      <c r="K20" s="54">
        <f t="shared" si="7"/>
        <v>150000000</v>
      </c>
      <c r="L20" s="54">
        <f t="shared" si="7"/>
        <v>150000000</v>
      </c>
      <c r="M20" s="54">
        <f t="shared" si="7"/>
        <v>150000000</v>
      </c>
      <c r="N20" s="54">
        <f t="shared" si="7"/>
        <v>150000000</v>
      </c>
      <c r="O20" s="54">
        <f t="shared" si="7"/>
        <v>150000000</v>
      </c>
      <c r="P20" s="54">
        <f t="shared" si="7"/>
        <v>150000000</v>
      </c>
      <c r="Q20" s="54">
        <f t="shared" si="7"/>
        <v>150000000</v>
      </c>
      <c r="R20" s="54">
        <f t="shared" si="7"/>
        <v>150000000</v>
      </c>
      <c r="S20" s="54">
        <f t="shared" si="7"/>
        <v>150000000</v>
      </c>
      <c r="T20" s="54">
        <f t="shared" si="7"/>
        <v>150000000</v>
      </c>
      <c r="U20" s="54">
        <f t="shared" si="7"/>
        <v>150000000</v>
      </c>
      <c r="V20" s="54">
        <f t="shared" si="7"/>
        <v>150000000</v>
      </c>
      <c r="W20" s="54"/>
      <c r="X20" s="47"/>
    </row>
    <row r="21" spans="1:24" s="26" customFormat="1" x14ac:dyDescent="0.3">
      <c r="A21" s="47" t="s">
        <v>52</v>
      </c>
      <c r="B21" s="47">
        <v>0</v>
      </c>
      <c r="C21" s="54">
        <f>C18</f>
        <v>25486818.299999997</v>
      </c>
      <c r="D21" s="54">
        <f t="shared" ref="D21:V21" si="8">C21+D18</f>
        <v>50973636.599999994</v>
      </c>
      <c r="E21" s="54">
        <f t="shared" si="8"/>
        <v>76460454.899999991</v>
      </c>
      <c r="F21" s="54">
        <f t="shared" si="8"/>
        <v>101947273.19999999</v>
      </c>
      <c r="G21" s="54">
        <f t="shared" si="8"/>
        <v>127434091.49999999</v>
      </c>
      <c r="H21" s="54">
        <f t="shared" si="8"/>
        <v>144476482.04999998</v>
      </c>
      <c r="I21" s="54">
        <f t="shared" si="8"/>
        <v>159829987.04999998</v>
      </c>
      <c r="J21" s="54">
        <f t="shared" si="8"/>
        <v>175183492.04999998</v>
      </c>
      <c r="K21" s="54">
        <f t="shared" si="8"/>
        <v>190536997.04999998</v>
      </c>
      <c r="L21" s="54">
        <f t="shared" si="8"/>
        <v>205890502.04999998</v>
      </c>
      <c r="M21" s="54">
        <f t="shared" si="8"/>
        <v>221244007.04999998</v>
      </c>
      <c r="N21" s="54">
        <f t="shared" si="8"/>
        <v>236597512.04999998</v>
      </c>
      <c r="O21" s="54">
        <f t="shared" si="8"/>
        <v>251951017.04999998</v>
      </c>
      <c r="P21" s="54">
        <f t="shared" si="8"/>
        <v>267304522.04999998</v>
      </c>
      <c r="Q21" s="54">
        <f t="shared" si="8"/>
        <v>282658027.04999995</v>
      </c>
      <c r="R21" s="54">
        <f t="shared" si="8"/>
        <v>298011532.04999995</v>
      </c>
      <c r="S21" s="54">
        <f t="shared" si="8"/>
        <v>313365037.04999995</v>
      </c>
      <c r="T21" s="54">
        <f t="shared" si="8"/>
        <v>328718542.04999995</v>
      </c>
      <c r="U21" s="54">
        <f t="shared" si="8"/>
        <v>344072047.04999995</v>
      </c>
      <c r="V21" s="54">
        <f t="shared" si="8"/>
        <v>359425552.04999995</v>
      </c>
      <c r="W21" s="54"/>
      <c r="X21" s="47"/>
    </row>
    <row r="22" spans="1:24" s="16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4" s="16" customFormat="1" x14ac:dyDescent="0.3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4" s="16" customFormat="1" x14ac:dyDescent="0.3">
      <c r="A24" s="18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4" x14ac:dyDescent="0.3">
      <c r="A25" s="13" t="s">
        <v>35</v>
      </c>
      <c r="B25" s="14">
        <f>NPV(0.075,B13,B17:V17)</f>
        <v>292797167.06456852</v>
      </c>
      <c r="C25" s="20">
        <f>B25/B15</f>
        <v>2.2522859004966809</v>
      </c>
      <c r="D25" t="s">
        <v>40</v>
      </c>
    </row>
    <row r="26" spans="1:24" x14ac:dyDescent="0.3">
      <c r="A26" s="13" t="s">
        <v>36</v>
      </c>
      <c r="B26" s="15">
        <f>IRR(B18:V18,0.075)</f>
        <v>0.15130794390697</v>
      </c>
    </row>
    <row r="27" spans="1:24" x14ac:dyDescent="0.3">
      <c r="A27" s="13" t="s">
        <v>45</v>
      </c>
      <c r="B27" s="25">
        <v>5.24</v>
      </c>
      <c r="C27" s="24" t="s">
        <v>47</v>
      </c>
      <c r="D27" t="s">
        <v>46</v>
      </c>
      <c r="E27" t="s">
        <v>46</v>
      </c>
    </row>
    <row r="28" spans="1:24" x14ac:dyDescent="0.3">
      <c r="A28" s="18" t="s">
        <v>37</v>
      </c>
      <c r="B28" t="s">
        <v>48</v>
      </c>
    </row>
  </sheetData>
  <pageMargins left="0.25" right="0.25" top="0.75" bottom="0.75" header="0.3" footer="0.3"/>
  <pageSetup paperSize="9" scale="3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150ล้าน3.7บาท4ชม.</vt:lpstr>
      <vt:lpstr>130ล้าน3.7บาท4ชม. </vt:lpstr>
      <vt:lpstr>150ล้าน3.7บาท5ชม.</vt:lpstr>
      <vt:lpstr>130ล้าน3.7บาท5ชม.</vt:lpstr>
      <vt:lpstr>150ล้าน4200แบ่งเวลา4ชม</vt:lpstr>
      <vt:lpstr>150ล้าน4500แบ่งเวลา4ชม</vt:lpstr>
      <vt:lpstr>150ล้าน4500แบ่งเวลา5ชม</vt:lpstr>
      <vt:lpstr>150ล้าน4พันห้า4.64บาท 5ชม</vt:lpstr>
      <vt:lpstr>130ล้าน4พนห้า4.64บาท 5ชม </vt:lpstr>
      <vt:lpstr>130ล้าน4พนห้า3.3471บาท 5ชม.N</vt:lpstr>
      <vt:lpstr>ผลตอบแทนผู้ลงทุน5.1</vt:lpstr>
      <vt:lpstr>รายการใช้จ่าย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Sittipat Apaisantipong [lw20sa]</cp:lastModifiedBy>
  <cp:lastPrinted>2024-05-30T00:12:27Z</cp:lastPrinted>
  <dcterms:created xsi:type="dcterms:W3CDTF">2024-04-15T17:25:25Z</dcterms:created>
  <dcterms:modified xsi:type="dcterms:W3CDTF">2024-06-19T19:43:21Z</dcterms:modified>
</cp:coreProperties>
</file>